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nnaht\AppData\Roaming\OpenText\OTEdit\EC_infohub\c32512541\"/>
    </mc:Choice>
  </mc:AlternateContent>
  <workbookProtection workbookPassword="C5CB" lockStructure="1"/>
  <bookViews>
    <workbookView xWindow="0" yWindow="0" windowWidth="28800" windowHeight="12135"/>
  </bookViews>
  <sheets>
    <sheet name="W1 - Summary_Upload" sheetId="15" r:id="rId1"/>
    <sheet name="SP11-1" sheetId="1" r:id="rId2"/>
    <sheet name="SP11-2" sheetId="10" r:id="rId3"/>
    <sheet name="SP11-3 (1)" sheetId="2" r:id="rId4"/>
    <sheet name="SP11-3 (2)" sheetId="20" r:id="rId5"/>
    <sheet name="SP11-3 (3)" sheetId="21" r:id="rId6"/>
    <sheet name="SP11-4" sheetId="14" r:id="rId7"/>
    <sheet name="SP11-5" sheetId="3" r:id="rId8"/>
    <sheet name="SP11-6" sheetId="13" r:id="rId9"/>
    <sheet name="SP11-7" sheetId="11" r:id="rId10"/>
    <sheet name="SP11-8" sheetId="7" r:id="rId11"/>
    <sheet name="Tables" sheetId="8" state="hidden" r:id="rId12"/>
    <sheet name="Cost Estimates" sheetId="16" r:id="rId13"/>
    <sheet name="Sensitivity" sheetId="17" r:id="rId14"/>
    <sheet name="Working" sheetId="18" r:id="rId15"/>
    <sheet name="Notes" sheetId="19" r:id="rId16"/>
  </sheets>
  <definedNames>
    <definedName name="_Toc149723404" localSheetId="11">Tables!$A$11</definedName>
    <definedName name="_Toc149723405" localSheetId="11">Tables!$A$47</definedName>
    <definedName name="_Toc149723406" localSheetId="11">Tables!$A$78</definedName>
    <definedName name="_Toc149723407" localSheetId="11">Tables!$A$114</definedName>
    <definedName name="_Toc149723408" localSheetId="11">Tables!$A$150</definedName>
    <definedName name="_Toc149723409" localSheetId="11">Tables!$A$185</definedName>
    <definedName name="_Toc18127489" localSheetId="11">Tables!$A$12</definedName>
    <definedName name="_Toc18207243" localSheetId="11">Tables!$B$12</definedName>
    <definedName name="_Toc18207244" localSheetId="11">Tables!$A$29</definedName>
    <definedName name="_Toc18207246" localSheetId="11">Tables!$A$64</definedName>
    <definedName name="_Toc18207247" localSheetId="11">Tables!$A$65</definedName>
    <definedName name="_Toc18207248" localSheetId="11">Tables!$A$79</definedName>
    <definedName name="_Toc18207249" localSheetId="11">Tables!$A$96</definedName>
    <definedName name="_Toc18207251" localSheetId="11">Tables!$A$132</definedName>
    <definedName name="_Toc18207253" localSheetId="11">Tables!$A$167</definedName>
    <definedName name="_Toc18207255" localSheetId="11">Tables!$A$202</definedName>
    <definedName name="_xlnm.Print_Area" localSheetId="1">'SP11-1'!$A$2:$O$60</definedName>
    <definedName name="_xlnm.Print_Area" localSheetId="2">'SP11-2'!$A$2:$T$39</definedName>
    <definedName name="_xlnm.Print_Area" localSheetId="3">'SP11-3 (1)'!$A$2:$T$37</definedName>
    <definedName name="_xlnm.Print_Area" localSheetId="4">'SP11-3 (2)'!$A$2:$T$37</definedName>
    <definedName name="_xlnm.Print_Area" localSheetId="5">'SP11-3 (3)'!$A$2:$T$37</definedName>
    <definedName name="_xlnm.Print_Area" localSheetId="6">'SP11-4'!$A$2:$R$34</definedName>
    <definedName name="_xlnm.Print_Area" localSheetId="7">'SP11-5'!$A$2:$J$38</definedName>
    <definedName name="_xlnm.Print_Area" localSheetId="8">'SP11-6'!$A$2:$R$41</definedName>
    <definedName name="_xlnm.Print_Area" localSheetId="9">'SP11-7'!$A$2:$H$20</definedName>
    <definedName name="_xlnm.Print_Area" localSheetId="0">'W1 - Summary_Upload'!$A$1:$J$92</definedName>
  </definedNames>
  <calcPr calcId="162913"/>
</workbook>
</file>

<file path=xl/calcChain.xml><?xml version="1.0" encoding="utf-8"?>
<calcChain xmlns="http://schemas.openxmlformats.org/spreadsheetml/2006/main">
  <c r="C47" i="16" l="1"/>
  <c r="C45" i="16"/>
  <c r="B49" i="16"/>
  <c r="B13" i="16"/>
  <c r="B10" i="16"/>
  <c r="B8" i="16"/>
  <c r="B4" i="16"/>
  <c r="B2" i="16"/>
  <c r="B17" i="16" s="1"/>
  <c r="B48" i="16"/>
  <c r="H2" i="7"/>
  <c r="G2" i="11"/>
  <c r="O2" i="13"/>
  <c r="I2" i="3"/>
  <c r="O2" i="14"/>
  <c r="Q2" i="21"/>
  <c r="Q2" i="20"/>
  <c r="Q2" i="2"/>
  <c r="Q2" i="10"/>
  <c r="B8" i="8"/>
  <c r="C8" i="8"/>
  <c r="J19" i="13" s="1"/>
  <c r="L16" i="13"/>
  <c r="J16" i="13"/>
  <c r="J17" i="13" s="1"/>
  <c r="E9" i="10"/>
  <c r="E10" i="10"/>
  <c r="E11" i="10"/>
  <c r="K12" i="10"/>
  <c r="F305" i="8"/>
  <c r="F306" i="8"/>
  <c r="G306" i="8"/>
  <c r="H306" i="8"/>
  <c r="N23" i="21" s="1"/>
  <c r="Q23" i="21"/>
  <c r="F307" i="8"/>
  <c r="G307" i="8"/>
  <c r="H307" i="8" s="1"/>
  <c r="N24" i="21"/>
  <c r="Q24" i="21"/>
  <c r="F308" i="8"/>
  <c r="G308" i="8" s="1"/>
  <c r="H308" i="8"/>
  <c r="N25" i="21"/>
  <c r="Q25" i="21"/>
  <c r="F309" i="8"/>
  <c r="F310" i="8"/>
  <c r="G310" i="8"/>
  <c r="F311" i="8"/>
  <c r="G311" i="8" s="1"/>
  <c r="H311" i="8" s="1"/>
  <c r="N28" i="21" s="1"/>
  <c r="Q28" i="21" s="1"/>
  <c r="F312" i="8"/>
  <c r="G312" i="8"/>
  <c r="H312" i="8"/>
  <c r="N29" i="21"/>
  <c r="Q29" i="21" s="1"/>
  <c r="F293" i="8"/>
  <c r="G293" i="8" s="1"/>
  <c r="H293" i="8" s="1"/>
  <c r="N22" i="20" s="1"/>
  <c r="Q22" i="20" s="1"/>
  <c r="F294" i="8"/>
  <c r="G294" i="8" s="1"/>
  <c r="H294" i="8" s="1"/>
  <c r="N23" i="20" s="1"/>
  <c r="Q23" i="20" s="1"/>
  <c r="F295" i="8"/>
  <c r="G295" i="8" s="1"/>
  <c r="H295" i="8" s="1"/>
  <c r="N24" i="20" s="1"/>
  <c r="Q24" i="20" s="1"/>
  <c r="F296" i="8"/>
  <c r="G296" i="8"/>
  <c r="H296" i="8"/>
  <c r="N25" i="20"/>
  <c r="Q25" i="20" s="1"/>
  <c r="F297" i="8"/>
  <c r="G297" i="8" s="1"/>
  <c r="H297" i="8" s="1"/>
  <c r="N26" i="20" s="1"/>
  <c r="Q26" i="20" s="1"/>
  <c r="F298" i="8"/>
  <c r="G298" i="8" s="1"/>
  <c r="F299" i="8"/>
  <c r="F300" i="8"/>
  <c r="G300" i="8" s="1"/>
  <c r="H300" i="8" s="1"/>
  <c r="N29" i="20" s="1"/>
  <c r="Q29" i="20" s="1"/>
  <c r="F304" i="8"/>
  <c r="G304" i="8" s="1"/>
  <c r="H304" i="8" s="1"/>
  <c r="N21" i="21" s="1"/>
  <c r="Q21" i="21" s="1"/>
  <c r="Q30" i="21" s="1"/>
  <c r="Q36" i="21" s="1"/>
  <c r="S53" i="1" s="1"/>
  <c r="F292" i="8"/>
  <c r="G292" i="8" s="1"/>
  <c r="H292" i="8" s="1"/>
  <c r="N21" i="20" s="1"/>
  <c r="Q21" i="20" s="1"/>
  <c r="H310" i="8"/>
  <c r="N27" i="21" s="1"/>
  <c r="Q27" i="21" s="1"/>
  <c r="G309" i="8"/>
  <c r="H309" i="8"/>
  <c r="N26" i="21"/>
  <c r="Q26" i="21" s="1"/>
  <c r="G305" i="8"/>
  <c r="H305" i="8"/>
  <c r="N22" i="21"/>
  <c r="Q22" i="21" s="1"/>
  <c r="G299" i="8"/>
  <c r="H299" i="8" s="1"/>
  <c r="N28" i="20" s="1"/>
  <c r="Q28" i="20" s="1"/>
  <c r="H298" i="8"/>
  <c r="N27" i="20"/>
  <c r="Q27" i="20" s="1"/>
  <c r="Q33" i="21"/>
  <c r="Q18" i="21"/>
  <c r="Q15" i="21"/>
  <c r="Q8" i="21"/>
  <c r="Q33" i="20"/>
  <c r="Q18" i="20"/>
  <c r="Q15" i="20"/>
  <c r="Q8" i="20"/>
  <c r="E17" i="7"/>
  <c r="H29" i="7"/>
  <c r="G29" i="7"/>
  <c r="I29" i="7" s="1"/>
  <c r="H28" i="7"/>
  <c r="G28" i="7"/>
  <c r="I28" i="7"/>
  <c r="H27" i="7"/>
  <c r="G27" i="7"/>
  <c r="I27" i="7"/>
  <c r="H26" i="7"/>
  <c r="G26" i="7"/>
  <c r="I26" i="7"/>
  <c r="I17" i="7"/>
  <c r="I19" i="7"/>
  <c r="H17" i="7"/>
  <c r="G17" i="7"/>
  <c r="F17" i="7"/>
  <c r="I13" i="7"/>
  <c r="H13" i="7"/>
  <c r="G13" i="7"/>
  <c r="F13" i="7"/>
  <c r="F19" i="7"/>
  <c r="E13" i="7"/>
  <c r="H19" i="7"/>
  <c r="F6" i="7"/>
  <c r="F5" i="7"/>
  <c r="Q18" i="2"/>
  <c r="N280" i="8"/>
  <c r="O280" i="8"/>
  <c r="P280" i="8" s="1"/>
  <c r="N281" i="8"/>
  <c r="O281" i="8" s="1"/>
  <c r="P281" i="8"/>
  <c r="N24" i="10" s="1"/>
  <c r="Q24" i="10" s="1"/>
  <c r="N282" i="8"/>
  <c r="O282" i="8"/>
  <c r="P282" i="8" s="1"/>
  <c r="N25" i="10" s="1"/>
  <c r="Q25" i="10" s="1"/>
  <c r="N283" i="8"/>
  <c r="O283" i="8" s="1"/>
  <c r="P283" i="8" s="1"/>
  <c r="N26" i="10" s="1"/>
  <c r="Q26" i="10" s="1"/>
  <c r="N284" i="8"/>
  <c r="O284" i="8" s="1"/>
  <c r="P284" i="8" s="1"/>
  <c r="N27" i="10" s="1"/>
  <c r="Q27" i="10" s="1"/>
  <c r="N285" i="8"/>
  <c r="O285" i="8"/>
  <c r="P285" i="8"/>
  <c r="N28" i="10" s="1"/>
  <c r="Q28" i="10" s="1"/>
  <c r="N286" i="8"/>
  <c r="O286" i="8"/>
  <c r="N287" i="8"/>
  <c r="N279" i="8"/>
  <c r="O279" i="8"/>
  <c r="P279" i="8"/>
  <c r="N22" i="10" s="1"/>
  <c r="Q22" i="10"/>
  <c r="F280" i="8"/>
  <c r="F281" i="8"/>
  <c r="G281" i="8" s="1"/>
  <c r="H281" i="8"/>
  <c r="N23" i="2"/>
  <c r="Q23" i="2" s="1"/>
  <c r="F282" i="8"/>
  <c r="G282" i="8"/>
  <c r="H282" i="8"/>
  <c r="N24" i="2" s="1"/>
  <c r="Q24" i="2" s="1"/>
  <c r="F283" i="8"/>
  <c r="G283" i="8"/>
  <c r="H283" i="8"/>
  <c r="N25" i="2" s="1"/>
  <c r="Q25" i="2" s="1"/>
  <c r="F284" i="8"/>
  <c r="G284" i="8"/>
  <c r="H284" i="8" s="1"/>
  <c r="N26" i="2"/>
  <c r="Q26" i="2" s="1"/>
  <c r="F285" i="8"/>
  <c r="G285" i="8" s="1"/>
  <c r="H285" i="8"/>
  <c r="N27" i="2"/>
  <c r="Q27" i="2" s="1"/>
  <c r="F286" i="8"/>
  <c r="G286" i="8"/>
  <c r="H286" i="8"/>
  <c r="N28" i="2" s="1"/>
  <c r="Q28" i="2" s="1"/>
  <c r="F287" i="8"/>
  <c r="G287" i="8"/>
  <c r="H287" i="8"/>
  <c r="N29" i="2" s="1"/>
  <c r="Q29" i="2" s="1"/>
  <c r="F279" i="8"/>
  <c r="G279" i="8" s="1"/>
  <c r="C90" i="15"/>
  <c r="C89" i="15"/>
  <c r="C88" i="15"/>
  <c r="C87" i="15"/>
  <c r="C84" i="15"/>
  <c r="C83" i="15"/>
  <c r="C82" i="15"/>
  <c r="C81" i="15"/>
  <c r="C80" i="15"/>
  <c r="C79" i="15"/>
  <c r="C78" i="15"/>
  <c r="C76" i="15"/>
  <c r="C75" i="15"/>
  <c r="C74" i="15"/>
  <c r="C73" i="15"/>
  <c r="C72" i="15"/>
  <c r="C71" i="15"/>
  <c r="C70" i="15"/>
  <c r="C68" i="15"/>
  <c r="C66" i="15"/>
  <c r="C65" i="15"/>
  <c r="C59" i="15"/>
  <c r="C57" i="15"/>
  <c r="C56" i="15"/>
  <c r="C55" i="15"/>
  <c r="C54" i="15"/>
  <c r="C41" i="15"/>
  <c r="C40" i="15"/>
  <c r="C39" i="15"/>
  <c r="C38" i="15"/>
  <c r="C37" i="15"/>
  <c r="C36" i="15"/>
  <c r="C35" i="15"/>
  <c r="C34" i="15"/>
  <c r="C33" i="15"/>
  <c r="C28" i="15"/>
  <c r="C26" i="15"/>
  <c r="C25" i="15"/>
  <c r="C23" i="15"/>
  <c r="C22" i="15"/>
  <c r="C21" i="15"/>
  <c r="C20" i="15"/>
  <c r="C19" i="15"/>
  <c r="C18" i="15"/>
  <c r="C17" i="15"/>
  <c r="C16" i="15"/>
  <c r="C15" i="15"/>
  <c r="C14" i="15"/>
  <c r="C13" i="15"/>
  <c r="C6" i="15"/>
  <c r="G280" i="8"/>
  <c r="H280" i="8"/>
  <c r="N22" i="2"/>
  <c r="Q22" i="2" s="1"/>
  <c r="I47" i="15"/>
  <c r="C45" i="15" s="1"/>
  <c r="H47" i="15"/>
  <c r="C44" i="15" s="1"/>
  <c r="G47" i="15"/>
  <c r="C43" i="15"/>
  <c r="F47" i="15"/>
  <c r="C42" i="15" s="1"/>
  <c r="G35" i="15"/>
  <c r="C30" i="15"/>
  <c r="F35" i="15"/>
  <c r="C29" i="15" s="1"/>
  <c r="F34" i="15"/>
  <c r="C27" i="15"/>
  <c r="H24" i="15"/>
  <c r="H23" i="15"/>
  <c r="F23" i="15" s="1"/>
  <c r="C9" i="15"/>
  <c r="C33" i="3"/>
  <c r="C23" i="3"/>
  <c r="C11" i="3"/>
  <c r="G24" i="15"/>
  <c r="C11" i="15" s="1"/>
  <c r="G23" i="15"/>
  <c r="C8" i="15"/>
  <c r="N15" i="14"/>
  <c r="H15" i="14"/>
  <c r="N21" i="14"/>
  <c r="N30" i="14" s="1"/>
  <c r="N10" i="14"/>
  <c r="F30" i="15"/>
  <c r="C24" i="15" s="1"/>
  <c r="G56" i="15"/>
  <c r="C58" i="15"/>
  <c r="F59" i="15"/>
  <c r="C61" i="15" s="1"/>
  <c r="F36" i="15"/>
  <c r="C31" i="15"/>
  <c r="G36" i="15"/>
  <c r="C32" i="15" s="1"/>
  <c r="F22" i="15"/>
  <c r="C5" i="15" s="1"/>
  <c r="F19" i="15"/>
  <c r="F18" i="15"/>
  <c r="F16" i="15"/>
  <c r="F15" i="15"/>
  <c r="F14" i="15"/>
  <c r="F12" i="15"/>
  <c r="C4" i="15"/>
  <c r="F11" i="15"/>
  <c r="F10" i="15"/>
  <c r="C3" i="15" s="1"/>
  <c r="F8" i="15"/>
  <c r="C2" i="15"/>
  <c r="F7" i="15"/>
  <c r="F6" i="15"/>
  <c r="F4" i="15"/>
  <c r="F3" i="15"/>
  <c r="E17" i="11"/>
  <c r="E11" i="11"/>
  <c r="E15" i="11"/>
  <c r="E16" i="11" s="1"/>
  <c r="E19" i="11" s="1"/>
  <c r="J41" i="14"/>
  <c r="H41" i="14" s="1"/>
  <c r="I33" i="14" s="1"/>
  <c r="J44" i="3"/>
  <c r="H44" i="3"/>
  <c r="G27" i="3" s="1"/>
  <c r="J43" i="3"/>
  <c r="H43" i="3" s="1"/>
  <c r="G16" i="3" s="1"/>
  <c r="I16" i="3" s="1"/>
  <c r="H72" i="1" s="1"/>
  <c r="Q33" i="2"/>
  <c r="Q15" i="2"/>
  <c r="Q8" i="2"/>
  <c r="G58" i="15" s="1"/>
  <c r="C60" i="15"/>
  <c r="Q35" i="10"/>
  <c r="Q16" i="10"/>
  <c r="A8" i="8"/>
  <c r="I83" i="8"/>
  <c r="I85" i="8" s="1"/>
  <c r="I84" i="8"/>
  <c r="M83" i="8"/>
  <c r="J83" i="8"/>
  <c r="F226" i="8"/>
  <c r="G226" i="8" s="1"/>
  <c r="H47" i="13"/>
  <c r="H48" i="13"/>
  <c r="H50" i="13"/>
  <c r="J25" i="13"/>
  <c r="N17" i="13"/>
  <c r="N18" i="13"/>
  <c r="P17" i="13"/>
  <c r="P18" i="13"/>
  <c r="J35" i="13"/>
  <c r="J31" i="13"/>
  <c r="L31" i="13"/>
  <c r="N31" i="13"/>
  <c r="P31" i="13"/>
  <c r="F11" i="11"/>
  <c r="E12" i="11" s="1"/>
  <c r="E18" i="11" s="1"/>
  <c r="F15" i="11"/>
  <c r="G11" i="11"/>
  <c r="G15" i="11"/>
  <c r="H279" i="8"/>
  <c r="N21" i="2" s="1"/>
  <c r="Q21" i="2" s="1"/>
  <c r="P286" i="8"/>
  <c r="N29" i="10"/>
  <c r="Q29" i="10" s="1"/>
  <c r="N23" i="10"/>
  <c r="Q23" i="10"/>
  <c r="O287" i="8"/>
  <c r="P287" i="8"/>
  <c r="N30" i="10"/>
  <c r="Q30" i="10" s="1"/>
  <c r="L17" i="13"/>
  <c r="L18" i="13"/>
  <c r="N26" i="14"/>
  <c r="J18" i="13"/>
  <c r="J24" i="13"/>
  <c r="J34" i="13" s="1"/>
  <c r="L23" i="13"/>
  <c r="L33" i="13" s="1"/>
  <c r="L36" i="13" s="1"/>
  <c r="L37" i="13" s="1"/>
  <c r="H49" i="13"/>
  <c r="G19" i="7"/>
  <c r="N24" i="13"/>
  <c r="N34" i="13"/>
  <c r="L24" i="13"/>
  <c r="L34" i="13"/>
  <c r="N23" i="13"/>
  <c r="N26" i="13" s="1"/>
  <c r="J23" i="13"/>
  <c r="J33" i="13"/>
  <c r="J36" i="13"/>
  <c r="J37" i="13" s="1"/>
  <c r="P24" i="13"/>
  <c r="P34" i="13"/>
  <c r="P23" i="13"/>
  <c r="P33" i="13" s="1"/>
  <c r="P36" i="13" s="1"/>
  <c r="P37" i="13" s="1"/>
  <c r="P26" i="13"/>
  <c r="L26" i="13"/>
  <c r="J26" i="13"/>
  <c r="P20" i="13"/>
  <c r="P22" i="13" s="1"/>
  <c r="N20" i="13"/>
  <c r="N22" i="13"/>
  <c r="L20" i="13"/>
  <c r="L22" i="13"/>
  <c r="J20" i="13"/>
  <c r="J22" i="13" s="1"/>
  <c r="F48" i="15" s="1"/>
  <c r="C46" i="15" s="1"/>
  <c r="J27" i="13"/>
  <c r="N27" i="13"/>
  <c r="J32" i="13"/>
  <c r="F49" i="15" s="1"/>
  <c r="C50" i="15"/>
  <c r="I27" i="3"/>
  <c r="H74" i="1" s="1"/>
  <c r="G33" i="3"/>
  <c r="I33" i="3" s="1"/>
  <c r="C71" i="1" s="1"/>
  <c r="C7" i="15"/>
  <c r="I48" i="15" l="1"/>
  <c r="C49" i="15" s="1"/>
  <c r="P32" i="13"/>
  <c r="I49" i="15" s="1"/>
  <c r="C53" i="15" s="1"/>
  <c r="P27" i="13"/>
  <c r="Q30" i="20"/>
  <c r="Q36" i="20" s="1"/>
  <c r="S50" i="1" s="1"/>
  <c r="Q30" i="2"/>
  <c r="G59" i="15" s="1"/>
  <c r="C62" i="15" s="1"/>
  <c r="I23" i="3"/>
  <c r="H73" i="1" s="1"/>
  <c r="I74" i="1" s="1"/>
  <c r="I121" i="8"/>
  <c r="J120" i="8" s="1"/>
  <c r="I102" i="8"/>
  <c r="J101" i="8" s="1"/>
  <c r="I191" i="8"/>
  <c r="J190" i="8" s="1"/>
  <c r="I138" i="8"/>
  <c r="J137" i="8" s="1"/>
  <c r="I208" i="8"/>
  <c r="J207" i="8" s="1"/>
  <c r="I173" i="8"/>
  <c r="J172" i="8" s="1"/>
  <c r="J84" i="8"/>
  <c r="I156" i="8"/>
  <c r="J155" i="8" s="1"/>
  <c r="N33" i="14"/>
  <c r="E54" i="1" s="1"/>
  <c r="M54" i="1" s="1"/>
  <c r="Q31" i="10"/>
  <c r="Q38" i="10" s="1"/>
  <c r="F24" i="15"/>
  <c r="C10" i="15" s="1"/>
  <c r="C12" i="15"/>
  <c r="H48" i="15"/>
  <c r="C48" i="15" s="1"/>
  <c r="N32" i="13"/>
  <c r="H49" i="15" s="1"/>
  <c r="C52" i="15" s="1"/>
  <c r="G23" i="3"/>
  <c r="G37" i="3"/>
  <c r="I37" i="3" s="1"/>
  <c r="C72" i="1" s="1"/>
  <c r="G11" i="3"/>
  <c r="I11" i="3" s="1"/>
  <c r="H71" i="1" s="1"/>
  <c r="I72" i="1" s="1"/>
  <c r="L27" i="13"/>
  <c r="J28" i="13" s="1"/>
  <c r="G48" i="15"/>
  <c r="C47" i="15" s="1"/>
  <c r="N33" i="13"/>
  <c r="N36" i="13" s="1"/>
  <c r="N37" i="13" s="1"/>
  <c r="J38" i="13" s="1"/>
  <c r="Q36" i="2"/>
  <c r="L32" i="13"/>
  <c r="G49" i="15" s="1"/>
  <c r="C51" i="15" s="1"/>
  <c r="H226" i="8"/>
  <c r="B12" i="16"/>
  <c r="J39" i="13" l="1"/>
  <c r="J40" i="13" s="1"/>
  <c r="C73" i="1" s="1"/>
  <c r="C74" i="1" s="1"/>
  <c r="E56" i="1" s="1"/>
  <c r="M56" i="1" s="1"/>
  <c r="S44" i="1"/>
  <c r="M47" i="1"/>
  <c r="F60" i="15" s="1"/>
  <c r="C63" i="15" s="1"/>
  <c r="J74" i="1"/>
  <c r="E55" i="1" s="1"/>
  <c r="M55" i="1" s="1"/>
  <c r="F76" i="15" s="1"/>
  <c r="C77" i="15" s="1"/>
  <c r="F66" i="15"/>
  <c r="S47" i="1"/>
  <c r="M50" i="1"/>
  <c r="F68" i="15" l="1"/>
  <c r="C69" i="15" s="1"/>
  <c r="J59" i="1"/>
  <c r="C67" i="15"/>
  <c r="F84" i="15"/>
  <c r="C85" i="15" s="1"/>
  <c r="J60" i="1"/>
  <c r="G60" i="15"/>
  <c r="C64" i="15" s="1"/>
  <c r="M59" i="1" l="1"/>
  <c r="F88" i="15" s="1"/>
  <c r="C86" i="15" s="1"/>
</calcChain>
</file>

<file path=xl/comments1.xml><?xml version="1.0" encoding="utf-8"?>
<comments xmlns="http://schemas.openxmlformats.org/spreadsheetml/2006/main">
  <authors>
    <author>Infrastructural Services</author>
    <author>Roger Burra</author>
  </authors>
  <commentList>
    <comment ref="B7" authorId="0" shapeId="0">
      <text>
        <r>
          <rPr>
            <sz val="8"/>
            <color indexed="81"/>
            <rFont val="Verdana"/>
            <family val="2"/>
          </rPr>
          <t>1. Enter the full name, contact details, name of organisation, office location of the evaluator(s) and reviewer(s).</t>
        </r>
      </text>
    </comment>
    <comment ref="B10" authorId="0" shapeId="0">
      <text>
        <r>
          <rPr>
            <sz val="8"/>
            <color indexed="81"/>
            <rFont val="Verdana"/>
            <family val="2"/>
          </rPr>
          <t>2. Provide a general description of the activity (and package/programme where relevant), describe the issues with the existing facilities and the issues to be addressed.</t>
        </r>
      </text>
    </comment>
    <comment ref="B17" authorId="0" shapeId="0">
      <text>
        <r>
          <rPr>
            <sz val="8"/>
            <color indexed="81"/>
            <rFont val="Verdana"/>
            <family val="2"/>
          </rPr>
          <t>3. Provide a brief description of the activity location including page references to route map and layout plan within the documentation, used as the foundation of the economics.</t>
        </r>
      </text>
    </comment>
    <comment ref="B20" authorId="0" shapeId="0">
      <text>
        <r>
          <rPr>
            <sz val="8"/>
            <color indexed="81"/>
            <rFont val="Verdana"/>
            <family val="2"/>
          </rPr>
          <t>4. Describe the do-minimum, that is usually the least cost option to maintain the current facility in an unimproved state. Describe the options assessed and how the preferred option will improve the road section.</t>
        </r>
      </text>
    </comment>
    <comment ref="B24" authorId="0" shapeId="0">
      <text>
        <r>
          <rPr>
            <sz val="8"/>
            <color indexed="81"/>
            <rFont val="Verdana"/>
            <family val="2"/>
          </rPr>
          <t>5. For purposes of economic efficiency, the construction start is assumed to be 1 July of the financial year in which the activity is submitted for a commitment to funding.</t>
        </r>
      </text>
    </comment>
    <comment ref="B29" authorId="0" shapeId="0">
      <text>
        <r>
          <rPr>
            <sz val="8"/>
            <color indexed="81"/>
            <rFont val="Verdana"/>
            <family val="2"/>
          </rPr>
          <t>6. Enter the timeframe information, identify the expected duration of construction (months) and identify whether land designation is required.</t>
        </r>
      </text>
    </comment>
    <comment ref="B34" authorId="0" shapeId="0">
      <text>
        <r>
          <rPr>
            <sz val="8"/>
            <color indexed="81"/>
            <rFont val="Verdana"/>
            <family val="2"/>
          </rPr>
          <t>7. Enter the applicable data to your request into the appropriate spaces provided.</t>
        </r>
      </text>
    </comment>
    <comment ref="I35" authorId="1" shapeId="0">
      <text>
        <r>
          <rPr>
            <b/>
            <sz val="9"/>
            <color indexed="81"/>
            <rFont val="Tahoma"/>
            <family val="2"/>
          </rPr>
          <t>Roger Burra:</t>
        </r>
        <r>
          <rPr>
            <sz val="9"/>
            <color indexed="81"/>
            <rFont val="Tahoma"/>
            <family val="2"/>
          </rPr>
          <t xml:space="preserve">
10 per day summer</t>
        </r>
      </text>
    </comment>
    <comment ref="B47" authorId="0" shapeId="0">
      <text>
        <r>
          <rPr>
            <sz val="8"/>
            <color indexed="81"/>
            <rFont val="Verdana"/>
            <family val="2"/>
          </rPr>
          <t>8. Use worksheet 2 to calculate the present value (PV) cost of the do-minimum. This should be the lowest cost option that will keep the road in service. It will provide no improvements.</t>
        </r>
      </text>
    </comment>
    <comment ref="B50" authorId="0" shapeId="0">
      <text>
        <r>
          <rPr>
            <sz val="8"/>
            <color indexed="81"/>
            <rFont val="Verdana"/>
            <family val="2"/>
          </rPr>
          <t>9. Use worksheet 3 to estimate the preferred option PV cost.</t>
        </r>
      </text>
    </comment>
    <comment ref="B53" authorId="0" shapeId="0">
      <text>
        <r>
          <rPr>
            <sz val="8"/>
            <color indexed="81"/>
            <rFont val="Verdana"/>
            <family val="2"/>
          </rPr>
          <t>10. Enter the benefits values from worksheets 4 (travel time savings), 5 (walking and cycling facility benefits) and 6 (crash cost savings). To bring the benefits up to the base date values, use the appropriate update factors supplied in appendix A12.3.</t>
        </r>
      </text>
    </comment>
    <comment ref="B59" authorId="0" shapeId="0">
      <text>
        <r>
          <rPr>
            <sz val="8"/>
            <color indexed="81"/>
            <rFont val="Verdana"/>
            <family val="2"/>
          </rPr>
          <t>11. The national benefit cost ratio (BCRN) is calculated by dividing the PV of the net benefits (PV benefits of the do-minimum subtracted from the PV benefits of the option) by PV of the net costs (PV costs of the do-minimum subtracted from the PV costs of the option).</t>
        </r>
      </text>
    </comment>
  </commentList>
</comments>
</file>

<file path=xl/comments10.xml><?xml version="1.0" encoding="utf-8"?>
<comments xmlns="http://schemas.openxmlformats.org/spreadsheetml/2006/main">
  <authors>
    <author>Infrastructural Services</author>
  </authors>
  <commentList>
    <comment ref="A8" authorId="0" shapeId="0">
      <text>
        <r>
          <rPr>
            <sz val="8"/>
            <color indexed="81"/>
            <rFont val="Verdana"/>
            <family val="2"/>
          </rPr>
          <t>Cost benefit analysis
1. Under benefits, enter the discounted value for the total benefits for each option.
2. Under costs, enter the PV of the operating and maintenance costs for the existing service (before improvements), for the do-minimum and the discounted value of the funding assistance for each option.
3. Calculate the benefit cost ratio (BCR) for each option by dividing the PV total net benefits by the PV total net costs.</t>
        </r>
      </text>
    </comment>
    <comment ref="A24" authorId="0" shapeId="0">
      <text>
        <r>
          <rPr>
            <sz val="8"/>
            <color indexed="81"/>
            <rFont val="Verdana"/>
            <family val="2"/>
          </rPr>
          <t>Incremental analysis
1. Rank the options, including the do-minimum, in order of increasing cost to government.
2. Compare the lowest cost option (usually the do-minimum) with the next higher cost option to calculate the incremental BCR.
3. If the incremental BCR is less than the target incremental BCR specified in appendix A12 of EEM1, discard the second (higher cost) option in favour of the first. Compare the first option with the next higher cost option.
4. If the incremental BCR is greater than the target incremental BCR, the second (higher cost) option becomes the basis for comparison against the next higher cost option.
5. Repeat the procedure until no higher cost options are available that have an incremental BCR greater than the target incremental BCR.</t>
        </r>
      </text>
    </comment>
  </commentList>
</comments>
</file>

<file path=xl/comments2.xml><?xml version="1.0" encoding="utf-8"?>
<comments xmlns="http://schemas.openxmlformats.org/spreadsheetml/2006/main">
  <authors>
    <author>Infrastructural Services</author>
  </authors>
  <commentList>
    <comment ref="B7" authorId="0" shapeId="0">
      <text>
        <r>
          <rPr>
            <sz val="8"/>
            <color indexed="81"/>
            <rFont val="Verdana"/>
            <family val="2"/>
          </rPr>
          <t>1. Enter the historic maintenance cost data. The annual and periodic maintenance costs should be obtained from maintenance records.</t>
        </r>
      </text>
    </comment>
    <comment ref="B15" authorId="0" shapeId="0">
      <text>
        <r>
          <rPr>
            <sz val="8"/>
            <color indexed="81"/>
            <rFont val="Verdana"/>
            <family val="2"/>
          </rPr>
          <t xml:space="preserve">2. Calculate the PV of annual maintenance costs </t>
        </r>
        <r>
          <rPr>
            <b/>
            <sz val="8"/>
            <color indexed="81"/>
            <rFont val="Verdana"/>
            <family val="2"/>
          </rPr>
          <t xml:space="preserve">(a) </t>
        </r>
        <r>
          <rPr>
            <sz val="8"/>
            <color indexed="81"/>
            <rFont val="Verdana"/>
            <family val="2"/>
          </rPr>
          <t>for the do-minimum by multiplying the annual cost by the discount factor of 15.49.</t>
        </r>
      </text>
    </comment>
    <comment ref="B18" authorId="0" shapeId="0">
      <text>
        <r>
          <rPr>
            <sz val="8"/>
            <color indexed="81"/>
            <rFont val="Verdana"/>
            <family val="2"/>
          </rPr>
          <t xml:space="preserve">3. Schedule any periodic maintenance, according to the year in which this work is expected to be undertaken. Apply the appropriate single payment present worth factor (SPPWF) to determine the PV at time zero. Sum the PV of the periodic costs to determine the PV of total periodic maintenance costs </t>
        </r>
        <r>
          <rPr>
            <b/>
            <sz val="8"/>
            <color indexed="81"/>
            <rFont val="Verdana"/>
            <family val="2"/>
          </rPr>
          <t>(b)</t>
        </r>
        <r>
          <rPr>
            <sz val="8"/>
            <color indexed="81"/>
            <rFont val="Verdana"/>
            <family val="2"/>
          </rPr>
          <t>.</t>
        </r>
      </text>
    </comment>
    <comment ref="B34" authorId="0" shapeId="0">
      <text>
        <r>
          <rPr>
            <sz val="8"/>
            <color indexed="81"/>
            <rFont val="Verdana"/>
            <family val="2"/>
          </rPr>
          <t xml:space="preserve">4. Calculate the PV of the annual costs associated with operating the facility </t>
        </r>
        <r>
          <rPr>
            <b/>
            <sz val="8"/>
            <color indexed="81"/>
            <rFont val="Verdana"/>
            <family val="2"/>
          </rPr>
          <t>(c)</t>
        </r>
        <r>
          <rPr>
            <sz val="8"/>
            <color indexed="81"/>
            <rFont val="Verdana"/>
            <family val="2"/>
          </rPr>
          <t xml:space="preserve"> for the do-minimum by multiplying the annual cost by the discount factor 15.49. 
</t>
        </r>
        <r>
          <rPr>
            <b/>
            <sz val="8"/>
            <color indexed="81"/>
            <rFont val="Verdana"/>
            <family val="2"/>
          </rPr>
          <t>Note</t>
        </r>
        <r>
          <rPr>
            <sz val="8"/>
            <color indexed="81"/>
            <rFont val="Verdana"/>
            <family val="2"/>
          </rPr>
          <t>: Operating costs must be distinct from, and in addition to, maintenance costs.</t>
        </r>
      </text>
    </comment>
    <comment ref="B37" authorId="0" shapeId="0">
      <text>
        <r>
          <rPr>
            <sz val="8"/>
            <color indexed="81"/>
            <rFont val="Verdana"/>
            <family val="2"/>
          </rPr>
          <t xml:space="preserve">5. Sum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to get PV cost of the do-minimum. Transfer the total to </t>
        </r>
        <r>
          <rPr>
            <b/>
            <sz val="8"/>
            <color indexed="81"/>
            <rFont val="Verdana"/>
            <family val="2"/>
          </rPr>
          <t>A</t>
        </r>
        <r>
          <rPr>
            <sz val="8"/>
            <color indexed="81"/>
            <rFont val="Verdana"/>
            <family val="2"/>
          </rPr>
          <t xml:space="preserve"> in worksheet 1.</t>
        </r>
      </text>
    </comment>
  </commentList>
</comments>
</file>

<file path=xl/comments3.xml><?xml version="1.0" encoding="utf-8"?>
<comments xmlns="http://schemas.openxmlformats.org/spreadsheetml/2006/main">
  <authors>
    <author>Infrastructural Services</author>
    <author>Roger Burra</author>
  </authors>
  <commentList>
    <comment ref="B7" authorId="0" shapeId="0">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0.94 and enter at </t>
        </r>
        <r>
          <rPr>
            <b/>
            <sz val="8"/>
            <color indexed="81"/>
            <rFont val="Verdana"/>
            <family val="2"/>
          </rPr>
          <t>(a)</t>
        </r>
        <r>
          <rPr>
            <sz val="8"/>
            <color indexed="81"/>
            <rFont val="Verdana"/>
            <family val="2"/>
          </rPr>
          <t>.</t>
        </r>
      </text>
    </comment>
    <comment ref="B11" authorId="0" shapeId="0">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facility is constructed.</t>
        </r>
      </text>
    </comment>
    <comment ref="B14" authorId="0" shapeId="0">
      <text>
        <r>
          <rPr>
            <sz val="8"/>
            <color indexed="81"/>
            <rFont val="Verdana"/>
            <family val="2"/>
          </rPr>
          <t xml:space="preserve">3. Enter the cost for annual maintenance and inspections following completion of the facility. Multiply by 14.52 to get the PV of annual maintenance costs </t>
        </r>
        <r>
          <rPr>
            <b/>
            <sz val="8"/>
            <color indexed="81"/>
            <rFont val="Verdana"/>
            <family val="2"/>
          </rPr>
          <t>(c)</t>
        </r>
        <r>
          <rPr>
            <sz val="8"/>
            <color indexed="81"/>
            <rFont val="Verdana"/>
            <family val="2"/>
          </rPr>
          <t xml:space="preserve"> for years 2 to 40 inclusive.</t>
        </r>
      </text>
    </comment>
    <comment ref="B17" authorId="0" shapeId="0">
      <text>
        <r>
          <rPr>
            <sz val="8"/>
            <color indexed="81"/>
            <rFont val="Verdana"/>
            <family val="2"/>
          </rPr>
          <t xml:space="preserve">4. Enter the costs of periodic maintenance. Determine which years this maintenance will be required (if at all) and enter the year, estimate cost and single payment present worth factor (SPPWF). Calculate the PV (estimate cost × SPPWF) for each cost and sum to obtain the PV of the total periodic maintenance cost </t>
        </r>
        <r>
          <rPr>
            <b/>
            <sz val="8"/>
            <color indexed="81"/>
            <rFont val="Verdana"/>
            <family val="2"/>
          </rPr>
          <t>(d)</t>
        </r>
        <r>
          <rPr>
            <sz val="8"/>
            <color indexed="81"/>
            <rFont val="Verdana"/>
            <family val="2"/>
          </rPr>
          <t>.</t>
        </r>
      </text>
    </comment>
    <comment ref="K21" authorId="1" shapeId="0">
      <text>
        <r>
          <rPr>
            <b/>
            <sz val="9"/>
            <color indexed="81"/>
            <rFont val="Tahoma"/>
            <family val="2"/>
          </rPr>
          <t>Roger Burra:</t>
        </r>
        <r>
          <rPr>
            <sz val="9"/>
            <color indexed="81"/>
            <rFont val="Tahoma"/>
            <family val="2"/>
          </rPr>
          <t xml:space="preserve">
1360 x 2.6 x 30</t>
        </r>
      </text>
    </comment>
    <comment ref="B32" authorId="0" shapeId="0">
      <text>
        <r>
          <rPr>
            <sz val="8"/>
            <color indexed="81"/>
            <rFont val="Verdana"/>
            <family val="2"/>
          </rPr>
          <t xml:space="preserve">5. The annual costs (for years 2 to 40) associated with the improved facility, but not maintaining capital assets, are specified and multiplied by the discount factor 14.52 to get </t>
        </r>
        <r>
          <rPr>
            <b/>
            <sz val="8"/>
            <color indexed="81"/>
            <rFont val="Verdana"/>
            <family val="2"/>
          </rPr>
          <t>(e)</t>
        </r>
        <r>
          <rPr>
            <sz val="8"/>
            <color indexed="81"/>
            <rFont val="Verdana"/>
            <family val="2"/>
          </rPr>
          <t>.</t>
        </r>
      </text>
    </comment>
    <comment ref="B35" authorId="0" shapeId="0">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4.xml><?xml version="1.0" encoding="utf-8"?>
<comments xmlns="http://schemas.openxmlformats.org/spreadsheetml/2006/main">
  <authors>
    <author>Infrastructural Services</author>
  </authors>
  <commentList>
    <comment ref="B7" authorId="0" shapeId="0">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0.94 and enter at </t>
        </r>
        <r>
          <rPr>
            <b/>
            <sz val="8"/>
            <color indexed="81"/>
            <rFont val="Verdana"/>
            <family val="2"/>
          </rPr>
          <t>(a)</t>
        </r>
        <r>
          <rPr>
            <sz val="8"/>
            <color indexed="81"/>
            <rFont val="Verdana"/>
            <family val="2"/>
          </rPr>
          <t>.</t>
        </r>
      </text>
    </comment>
    <comment ref="B11" authorId="0" shapeId="0">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facility is constructed.</t>
        </r>
      </text>
    </comment>
    <comment ref="B14" authorId="0" shapeId="0">
      <text>
        <r>
          <rPr>
            <sz val="8"/>
            <color indexed="81"/>
            <rFont val="Verdana"/>
            <family val="2"/>
          </rPr>
          <t xml:space="preserve">3. Enter the cost for annual maintenance and inspections following completion of the facility. Multiply by 14.52 to get the PV of annual maintenance costs </t>
        </r>
        <r>
          <rPr>
            <b/>
            <sz val="8"/>
            <color indexed="81"/>
            <rFont val="Verdana"/>
            <family val="2"/>
          </rPr>
          <t>(c)</t>
        </r>
        <r>
          <rPr>
            <sz val="8"/>
            <color indexed="81"/>
            <rFont val="Verdana"/>
            <family val="2"/>
          </rPr>
          <t xml:space="preserve"> for years 2 to 40 inclusive.</t>
        </r>
      </text>
    </comment>
    <comment ref="B17" authorId="0" shapeId="0">
      <text>
        <r>
          <rPr>
            <sz val="8"/>
            <color indexed="81"/>
            <rFont val="Verdana"/>
            <family val="2"/>
          </rPr>
          <t xml:space="preserve">4. Enter the costs of periodic maintenance. Determine which years this maintenance will be required (if at all) and enter the year, estimate cost and single payment present worth factor (SPPWF). Calculate the PV (estimate cost × SPPWF) for each cost and sum to obtain the PV of the total periodic maintenance cost </t>
        </r>
        <r>
          <rPr>
            <b/>
            <sz val="8"/>
            <color indexed="81"/>
            <rFont val="Verdana"/>
            <family val="2"/>
          </rPr>
          <t>(d)</t>
        </r>
        <r>
          <rPr>
            <sz val="8"/>
            <color indexed="81"/>
            <rFont val="Verdana"/>
            <family val="2"/>
          </rPr>
          <t>.</t>
        </r>
      </text>
    </comment>
    <comment ref="B32" authorId="0" shapeId="0">
      <text>
        <r>
          <rPr>
            <sz val="8"/>
            <color indexed="81"/>
            <rFont val="Verdana"/>
            <family val="2"/>
          </rPr>
          <t xml:space="preserve">5. The annual costs (for years 2 to 40) associated with the improved facility, but not maintaining capital assets, are specified and multiplied by the discount factor 14.52 to get </t>
        </r>
        <r>
          <rPr>
            <b/>
            <sz val="8"/>
            <color indexed="81"/>
            <rFont val="Verdana"/>
            <family val="2"/>
          </rPr>
          <t>(e)</t>
        </r>
        <r>
          <rPr>
            <sz val="8"/>
            <color indexed="81"/>
            <rFont val="Verdana"/>
            <family val="2"/>
          </rPr>
          <t>.</t>
        </r>
      </text>
    </comment>
    <comment ref="B35" authorId="0" shapeId="0">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5.xml><?xml version="1.0" encoding="utf-8"?>
<comments xmlns="http://schemas.openxmlformats.org/spreadsheetml/2006/main">
  <authors>
    <author>Infrastructural Services</author>
  </authors>
  <commentList>
    <comment ref="B7" authorId="0" shapeId="0">
      <text>
        <r>
          <rPr>
            <sz val="8"/>
            <color indexed="81"/>
            <rFont val="Verdana"/>
            <family val="2"/>
          </rPr>
          <t xml:space="preserve">1. Enter the capital cost (including professional services for design and supervision) of the proposed option. The cost is estimated separately on an estimate sheet, which should be attached to this worksheet. Multiply the cost by the discount factor 0.94 and enter at </t>
        </r>
        <r>
          <rPr>
            <b/>
            <sz val="8"/>
            <color indexed="81"/>
            <rFont val="Verdana"/>
            <family val="2"/>
          </rPr>
          <t>(a)</t>
        </r>
        <r>
          <rPr>
            <sz val="8"/>
            <color indexed="81"/>
            <rFont val="Verdana"/>
            <family val="2"/>
          </rPr>
          <t>.</t>
        </r>
      </text>
    </comment>
    <comment ref="B11" authorId="0" shapeId="0">
      <text>
        <r>
          <rPr>
            <sz val="8"/>
            <color indexed="81"/>
            <rFont val="Verdana"/>
            <family val="2"/>
          </rPr>
          <t xml:space="preserve">2. Enter the cost of maintenance for year 1 at </t>
        </r>
        <r>
          <rPr>
            <b/>
            <sz val="8"/>
            <color indexed="81"/>
            <rFont val="Verdana"/>
            <family val="2"/>
          </rPr>
          <t>(b)</t>
        </r>
        <r>
          <rPr>
            <sz val="8"/>
            <color indexed="81"/>
            <rFont val="Verdana"/>
            <family val="2"/>
          </rPr>
          <t>. As this is assumed to be the year that the proposed option facility is constructed.</t>
        </r>
      </text>
    </comment>
    <comment ref="B14" authorId="0" shapeId="0">
      <text>
        <r>
          <rPr>
            <sz val="8"/>
            <color indexed="81"/>
            <rFont val="Verdana"/>
            <family val="2"/>
          </rPr>
          <t xml:space="preserve">3. Enter the cost for annual maintenance and inspections following completion of the facility. Multiply by 14.52 to get the PV of annual maintenance costs </t>
        </r>
        <r>
          <rPr>
            <b/>
            <sz val="8"/>
            <color indexed="81"/>
            <rFont val="Verdana"/>
            <family val="2"/>
          </rPr>
          <t>(c)</t>
        </r>
        <r>
          <rPr>
            <sz val="8"/>
            <color indexed="81"/>
            <rFont val="Verdana"/>
            <family val="2"/>
          </rPr>
          <t xml:space="preserve"> for years 2 to 40 inclusive.</t>
        </r>
      </text>
    </comment>
    <comment ref="B17" authorId="0" shapeId="0">
      <text>
        <r>
          <rPr>
            <sz val="8"/>
            <color indexed="81"/>
            <rFont val="Verdana"/>
            <family val="2"/>
          </rPr>
          <t xml:space="preserve">4. Enter the costs of periodic maintenance. Determine which years this maintenance will be required (if at all) and enter the year, estimate cost and single payment present worth factor (SPPWF). Calculate the PV (estimate cost × SPPWF) for each cost and sum to obtain the PV of the total periodic maintenance cost </t>
        </r>
        <r>
          <rPr>
            <b/>
            <sz val="8"/>
            <color indexed="81"/>
            <rFont val="Verdana"/>
            <family val="2"/>
          </rPr>
          <t>(d)</t>
        </r>
        <r>
          <rPr>
            <sz val="8"/>
            <color indexed="81"/>
            <rFont val="Verdana"/>
            <family val="2"/>
          </rPr>
          <t>.</t>
        </r>
      </text>
    </comment>
    <comment ref="B32" authorId="0" shapeId="0">
      <text>
        <r>
          <rPr>
            <sz val="8"/>
            <color indexed="81"/>
            <rFont val="Verdana"/>
            <family val="2"/>
          </rPr>
          <t xml:space="preserve">5. The annual costs (for years 2 to 40) associated with the improved facility, but not maintaining capital assets, are specified and multiplied by the discount factor 14.52 to get </t>
        </r>
        <r>
          <rPr>
            <b/>
            <sz val="8"/>
            <color indexed="81"/>
            <rFont val="Verdana"/>
            <family val="2"/>
          </rPr>
          <t>(e)</t>
        </r>
        <r>
          <rPr>
            <sz val="8"/>
            <color indexed="81"/>
            <rFont val="Verdana"/>
            <family val="2"/>
          </rPr>
          <t>.</t>
        </r>
      </text>
    </comment>
    <comment ref="B35" authorId="0" shapeId="0">
      <text>
        <r>
          <rPr>
            <sz val="8"/>
            <color indexed="81"/>
            <rFont val="Verdana"/>
            <family val="2"/>
          </rPr>
          <t xml:space="preserve">6. The sum of </t>
        </r>
        <r>
          <rPr>
            <b/>
            <sz val="8"/>
            <color indexed="81"/>
            <rFont val="Verdana"/>
            <family val="2"/>
          </rPr>
          <t>(a)</t>
        </r>
        <r>
          <rPr>
            <sz val="8"/>
            <color indexed="81"/>
            <rFont val="Verdana"/>
            <family val="2"/>
          </rPr>
          <t xml:space="preserve"> + </t>
        </r>
        <r>
          <rPr>
            <b/>
            <sz val="8"/>
            <color indexed="81"/>
            <rFont val="Verdana"/>
            <family val="2"/>
          </rPr>
          <t>(b)</t>
        </r>
        <r>
          <rPr>
            <sz val="8"/>
            <color indexed="81"/>
            <rFont val="Verdana"/>
            <family val="2"/>
          </rPr>
          <t xml:space="preserve"> + </t>
        </r>
        <r>
          <rPr>
            <b/>
            <sz val="8"/>
            <color indexed="81"/>
            <rFont val="Verdana"/>
            <family val="2"/>
          </rPr>
          <t>(c)</t>
        </r>
        <r>
          <rPr>
            <sz val="8"/>
            <color indexed="81"/>
            <rFont val="Verdana"/>
            <family val="2"/>
          </rPr>
          <t xml:space="preserve"> + </t>
        </r>
        <r>
          <rPr>
            <b/>
            <sz val="8"/>
            <color indexed="81"/>
            <rFont val="Verdana"/>
            <family val="2"/>
          </rPr>
          <t>(d)</t>
        </r>
        <r>
          <rPr>
            <sz val="8"/>
            <color indexed="81"/>
            <rFont val="Verdana"/>
            <family val="2"/>
          </rPr>
          <t xml:space="preserve"> + </t>
        </r>
        <r>
          <rPr>
            <b/>
            <sz val="8"/>
            <color indexed="81"/>
            <rFont val="Verdana"/>
            <family val="2"/>
          </rPr>
          <t>(e)</t>
        </r>
        <r>
          <rPr>
            <sz val="8"/>
            <color indexed="81"/>
            <rFont val="Verdana"/>
            <family val="2"/>
          </rPr>
          <t xml:space="preserve"> gives the PV total cost of the option, </t>
        </r>
        <r>
          <rPr>
            <b/>
            <sz val="8"/>
            <color indexed="81"/>
            <rFont val="Verdana"/>
            <family val="2"/>
          </rPr>
          <t>B</t>
        </r>
        <r>
          <rPr>
            <sz val="8"/>
            <color indexed="81"/>
            <rFont val="Verdana"/>
            <family val="2"/>
          </rPr>
          <t xml:space="preserve">. Transfer the PV total costs for the preferred option </t>
        </r>
        <r>
          <rPr>
            <b/>
            <sz val="8"/>
            <color indexed="81"/>
            <rFont val="Verdana"/>
            <family val="2"/>
          </rPr>
          <t>B</t>
        </r>
        <r>
          <rPr>
            <sz val="8"/>
            <color indexed="81"/>
            <rFont val="Verdana"/>
            <family val="2"/>
          </rPr>
          <t xml:space="preserve">, to </t>
        </r>
        <r>
          <rPr>
            <b/>
            <sz val="8"/>
            <color indexed="81"/>
            <rFont val="Verdana"/>
            <family val="2"/>
          </rPr>
          <t>B</t>
        </r>
        <r>
          <rPr>
            <sz val="8"/>
            <color indexed="81"/>
            <rFont val="Verdana"/>
            <family val="2"/>
          </rPr>
          <t xml:space="preserve"> on worksheet 1.</t>
        </r>
      </text>
    </comment>
  </commentList>
</comments>
</file>

<file path=xl/comments6.xml><?xml version="1.0" encoding="utf-8"?>
<comments xmlns="http://schemas.openxmlformats.org/spreadsheetml/2006/main">
  <authors>
    <author>Infrastructural Services</author>
  </authors>
  <commentList>
    <comment ref="B7" authorId="0" shapeId="0">
      <text>
        <r>
          <rPr>
            <sz val="8"/>
            <color indexed="81"/>
            <rFont val="Verdana"/>
            <family val="2"/>
          </rPr>
          <t>1. Select the road category.</t>
        </r>
      </text>
    </comment>
    <comment ref="B9" authorId="0" shapeId="0">
      <text>
        <r>
          <rPr>
            <sz val="8"/>
            <color indexed="81"/>
            <rFont val="Verdana"/>
            <family val="2"/>
          </rPr>
          <t xml:space="preserve">2. Enter the data required to complete the travel time cost savings calculations. Default values for travel time costs are found in table 1. 
</t>
        </r>
        <r>
          <rPr>
            <b/>
            <sz val="8"/>
            <color indexed="81"/>
            <rFont val="Verdana"/>
            <family val="2"/>
          </rPr>
          <t>Note:</t>
        </r>
        <r>
          <rPr>
            <sz val="8"/>
            <color indexed="81"/>
            <rFont val="Verdana"/>
            <family val="2"/>
          </rPr>
          <t xml:space="preserve"> If it is a cycle facility being evaluated, the relative attractiveness (RA) of the option facility compared to the do-minimum must be adjusted for. For example, if the facility moves cyclists from in traffic with road side parking with no cycle lane, to in traffic with road side parking but with a marked cycle lane, enter the relative attractiveness value of 1.8 into the assigned cell. If the RA is greater than one, travel time cost savings for pedestrians must be calculated separately from cyclists with a RA of one used.</t>
        </r>
      </text>
    </comment>
    <comment ref="B19" authorId="0" shapeId="0">
      <text>
        <r>
          <rPr>
            <sz val="8"/>
            <color indexed="81"/>
            <rFont val="Verdana"/>
            <family val="2"/>
          </rPr>
          <t xml:space="preserve">3. Calculate the annual travel time costs for the do-minimum </t>
        </r>
        <r>
          <rPr>
            <b/>
            <sz val="8"/>
            <color indexed="81"/>
            <rFont val="Verdana"/>
            <family val="2"/>
          </rPr>
          <t>(a)</t>
        </r>
        <r>
          <rPr>
            <sz val="8"/>
            <color indexed="81"/>
            <rFont val="Verdana"/>
            <family val="2"/>
          </rPr>
          <t xml:space="preserve"> using the formula provided.</t>
        </r>
      </text>
    </comment>
    <comment ref="B24" authorId="0" shapeId="0">
      <text>
        <r>
          <rPr>
            <sz val="8"/>
            <color indexed="81"/>
            <rFont val="Verdana"/>
            <family val="2"/>
          </rPr>
          <t xml:space="preserve">4. Calculate the annual travel time costs for the option </t>
        </r>
        <r>
          <rPr>
            <b/>
            <sz val="8"/>
            <color indexed="81"/>
            <rFont val="Verdana"/>
            <family val="2"/>
          </rPr>
          <t>(b)</t>
        </r>
        <r>
          <rPr>
            <sz val="8"/>
            <color indexed="81"/>
            <rFont val="Verdana"/>
            <family val="2"/>
          </rPr>
          <t xml:space="preserve"> using the formula provided. The travel speed and route length will be the same for both the do-minimum and the activity option if the work does not either shorten the route or increase travel speeds.</t>
        </r>
      </text>
    </comment>
    <comment ref="B30" authorId="0" shapeId="0">
      <text>
        <r>
          <rPr>
            <sz val="8"/>
            <color indexed="81"/>
            <rFont val="Verdana"/>
            <family val="2"/>
          </rPr>
          <t xml:space="preserve">5. Calculate the annual travel time cost savings by subtracting the travel time costs for the option </t>
        </r>
        <r>
          <rPr>
            <b/>
            <sz val="8"/>
            <color indexed="81"/>
            <rFont val="Verdana"/>
            <family val="2"/>
          </rPr>
          <t>(b)</t>
        </r>
        <r>
          <rPr>
            <sz val="8"/>
            <color indexed="81"/>
            <rFont val="Verdana"/>
            <family val="2"/>
          </rPr>
          <t xml:space="preserve"> from the do-minimum travel time costs </t>
        </r>
        <r>
          <rPr>
            <b/>
            <sz val="8"/>
            <color indexed="81"/>
            <rFont val="Verdana"/>
            <family val="2"/>
          </rPr>
          <t>(a)</t>
        </r>
        <r>
          <rPr>
            <sz val="8"/>
            <color indexed="81"/>
            <rFont val="Verdana"/>
            <family val="2"/>
          </rPr>
          <t xml:space="preserve"> to get </t>
        </r>
        <r>
          <rPr>
            <b/>
            <sz val="8"/>
            <color indexed="81"/>
            <rFont val="Verdana"/>
            <family val="2"/>
          </rPr>
          <t>(c)</t>
        </r>
        <r>
          <rPr>
            <sz val="8"/>
            <color indexed="81"/>
            <rFont val="Verdana"/>
            <family val="2"/>
          </rPr>
          <t>.</t>
        </r>
      </text>
    </comment>
    <comment ref="B33" authorId="0" shapeId="0">
      <text>
        <r>
          <rPr>
            <sz val="8"/>
            <color indexed="81"/>
            <rFont val="Verdana"/>
            <family val="2"/>
          </rPr>
          <t xml:space="preserve">6. Determine the PV of the travel time cost savings, </t>
        </r>
        <r>
          <rPr>
            <b/>
            <sz val="8"/>
            <color indexed="81"/>
            <rFont val="Verdana"/>
            <family val="2"/>
          </rPr>
          <t>C</t>
        </r>
        <r>
          <rPr>
            <sz val="8"/>
            <color indexed="81"/>
            <rFont val="Verdana"/>
            <family val="2"/>
          </rPr>
          <t xml:space="preserve"> by multiplying </t>
        </r>
        <r>
          <rPr>
            <b/>
            <sz val="8"/>
            <color indexed="81"/>
            <rFont val="Verdana"/>
            <family val="2"/>
          </rPr>
          <t>(c)</t>
        </r>
        <r>
          <rPr>
            <sz val="8"/>
            <color indexed="81"/>
            <rFont val="Verdana"/>
            <family val="2"/>
          </rPr>
          <t xml:space="preserve"> by the appropriate discount factor from table 3. Transfer the PV of travel time cost savings </t>
        </r>
        <r>
          <rPr>
            <b/>
            <sz val="8"/>
            <color indexed="81"/>
            <rFont val="Verdana"/>
            <family val="2"/>
          </rPr>
          <t>C</t>
        </r>
        <r>
          <rPr>
            <sz val="8"/>
            <color indexed="81"/>
            <rFont val="Verdana"/>
            <family val="2"/>
          </rPr>
          <t>, for the preferred option to worksheet 1.</t>
        </r>
      </text>
    </comment>
  </commentList>
</comments>
</file>

<file path=xl/comments7.xml><?xml version="1.0" encoding="utf-8"?>
<comments xmlns="http://schemas.openxmlformats.org/spreadsheetml/2006/main">
  <authors>
    <author>Infrastructural Services</author>
  </authors>
  <commentList>
    <comment ref="B7" authorId="0" shapeId="0">
      <text>
        <r>
          <rPr>
            <sz val="8"/>
            <color indexed="81"/>
            <rFont val="Verdana"/>
            <family val="2"/>
          </rPr>
          <t xml:space="preserve">1. Use the appropriate benefit calculation.
2. Fill in the appropriate information into the blank fields then calculate the PV of the category by multiplying along the line. The basis of the composite health, safety and environmental benefits used in worksheet 4 is described in the EEM.
3. Transfer the total(s) </t>
        </r>
        <r>
          <rPr>
            <b/>
            <sz val="8"/>
            <color indexed="81"/>
            <rFont val="Verdana"/>
            <family val="2"/>
          </rPr>
          <t>(a)</t>
        </r>
        <r>
          <rPr>
            <sz val="8"/>
            <color indexed="81"/>
            <rFont val="Verdana"/>
            <family val="2"/>
          </rPr>
          <t xml:space="preserve">, </t>
        </r>
        <r>
          <rPr>
            <b/>
            <sz val="8"/>
            <color indexed="81"/>
            <rFont val="Verdana"/>
            <family val="2"/>
          </rPr>
          <t>(b)</t>
        </r>
        <r>
          <rPr>
            <sz val="8"/>
            <color indexed="81"/>
            <rFont val="Verdana"/>
            <family val="2"/>
          </rPr>
          <t xml:space="preserve">, </t>
        </r>
        <r>
          <rPr>
            <b/>
            <sz val="8"/>
            <color indexed="81"/>
            <rFont val="Verdana"/>
            <family val="2"/>
          </rPr>
          <t>(c)</t>
        </r>
        <r>
          <rPr>
            <sz val="8"/>
            <color indexed="81"/>
            <rFont val="Verdana"/>
            <family val="2"/>
          </rPr>
          <t xml:space="preserve"> or </t>
        </r>
        <r>
          <rPr>
            <b/>
            <sz val="8"/>
            <color indexed="81"/>
            <rFont val="Verdana"/>
            <family val="2"/>
          </rPr>
          <t>(d)</t>
        </r>
        <r>
          <rPr>
            <sz val="8"/>
            <color indexed="81"/>
            <rFont val="Verdana"/>
            <family val="2"/>
          </rPr>
          <t xml:space="preserve"> to </t>
        </r>
        <r>
          <rPr>
            <b/>
            <sz val="8"/>
            <color indexed="81"/>
            <rFont val="Verdana"/>
            <family val="2"/>
          </rPr>
          <t>D</t>
        </r>
        <r>
          <rPr>
            <sz val="8"/>
            <color indexed="81"/>
            <rFont val="Verdana"/>
            <family val="2"/>
          </rPr>
          <t xml:space="preserve"> on worksheet 1, and </t>
        </r>
        <r>
          <rPr>
            <b/>
            <sz val="8"/>
            <color indexed="81"/>
            <rFont val="Verdana"/>
            <family val="2"/>
          </rPr>
          <t>(e)</t>
        </r>
        <r>
          <rPr>
            <sz val="8"/>
            <color indexed="81"/>
            <rFont val="Verdana"/>
            <family val="2"/>
          </rPr>
          <t xml:space="preserve"> or </t>
        </r>
        <r>
          <rPr>
            <b/>
            <sz val="8"/>
            <color indexed="81"/>
            <rFont val="Verdana"/>
            <family val="2"/>
          </rPr>
          <t>(f)</t>
        </r>
        <r>
          <rPr>
            <sz val="8"/>
            <color indexed="81"/>
            <rFont val="Verdana"/>
            <family val="2"/>
          </rPr>
          <t xml:space="preserve"> to </t>
        </r>
        <r>
          <rPr>
            <b/>
            <sz val="8"/>
            <color indexed="81"/>
            <rFont val="Verdana"/>
            <family val="2"/>
          </rPr>
          <t>E</t>
        </r>
        <r>
          <rPr>
            <sz val="8"/>
            <color indexed="81"/>
            <rFont val="Verdana"/>
            <family val="2"/>
          </rPr>
          <t xml:space="preserve"> on worksheet 1 in the absence of a specific crash analysis.</t>
        </r>
      </text>
    </comment>
    <comment ref="B19" authorId="0" shapeId="0">
      <text>
        <r>
          <rPr>
            <sz val="8"/>
            <color indexed="81"/>
            <rFont val="Verdana"/>
            <family val="2"/>
          </rPr>
          <t xml:space="preserve">1. Use the appropriate benefit calculation.
2. Fill in the appropriate information into the blank fields then calculate the PV of the category by multiplying along the line. The basis of the composite health, safety and environmental benefits used in worksheet 4 is in the EEM.
3. Transfer the total(s) </t>
        </r>
        <r>
          <rPr>
            <b/>
            <sz val="8"/>
            <color indexed="81"/>
            <rFont val="Verdana"/>
            <family val="2"/>
          </rPr>
          <t>(a)</t>
        </r>
        <r>
          <rPr>
            <sz val="8"/>
            <color indexed="81"/>
            <rFont val="Verdana"/>
            <family val="2"/>
          </rPr>
          <t xml:space="preserve">, </t>
        </r>
        <r>
          <rPr>
            <b/>
            <sz val="8"/>
            <color indexed="81"/>
            <rFont val="Verdana"/>
            <family val="2"/>
          </rPr>
          <t>(b)</t>
        </r>
        <r>
          <rPr>
            <sz val="8"/>
            <color indexed="81"/>
            <rFont val="Verdana"/>
            <family val="2"/>
          </rPr>
          <t xml:space="preserve">, </t>
        </r>
        <r>
          <rPr>
            <b/>
            <sz val="8"/>
            <color indexed="81"/>
            <rFont val="Verdana"/>
            <family val="2"/>
          </rPr>
          <t>(c)</t>
        </r>
        <r>
          <rPr>
            <sz val="8"/>
            <color indexed="81"/>
            <rFont val="Verdana"/>
            <family val="2"/>
          </rPr>
          <t xml:space="preserve"> or </t>
        </r>
        <r>
          <rPr>
            <b/>
            <sz val="8"/>
            <color indexed="81"/>
            <rFont val="Verdana"/>
            <family val="2"/>
          </rPr>
          <t>(d)</t>
        </r>
        <r>
          <rPr>
            <sz val="8"/>
            <color indexed="81"/>
            <rFont val="Verdana"/>
            <family val="2"/>
          </rPr>
          <t xml:space="preserve"> to </t>
        </r>
        <r>
          <rPr>
            <b/>
            <sz val="8"/>
            <color indexed="81"/>
            <rFont val="Verdana"/>
            <family val="2"/>
          </rPr>
          <t>D</t>
        </r>
        <r>
          <rPr>
            <sz val="8"/>
            <color indexed="81"/>
            <rFont val="Verdana"/>
            <family val="2"/>
          </rPr>
          <t xml:space="preserve"> on worksheet 1, and </t>
        </r>
        <r>
          <rPr>
            <b/>
            <sz val="8"/>
            <color indexed="81"/>
            <rFont val="Verdana"/>
            <family val="2"/>
          </rPr>
          <t>(e)</t>
        </r>
        <r>
          <rPr>
            <sz val="8"/>
            <color indexed="81"/>
            <rFont val="Verdana"/>
            <family val="2"/>
          </rPr>
          <t xml:space="preserve"> or </t>
        </r>
        <r>
          <rPr>
            <b/>
            <sz val="8"/>
            <color indexed="81"/>
            <rFont val="Verdana"/>
            <family val="2"/>
          </rPr>
          <t>(f)</t>
        </r>
        <r>
          <rPr>
            <sz val="8"/>
            <color indexed="81"/>
            <rFont val="Verdana"/>
            <family val="2"/>
          </rPr>
          <t xml:space="preserve"> to </t>
        </r>
        <r>
          <rPr>
            <b/>
            <sz val="8"/>
            <color indexed="81"/>
            <rFont val="Verdana"/>
            <family val="2"/>
          </rPr>
          <t>E</t>
        </r>
        <r>
          <rPr>
            <sz val="8"/>
            <color indexed="81"/>
            <rFont val="Verdana"/>
            <family val="2"/>
          </rPr>
          <t xml:space="preserve"> on worksheet 1 in the absence of a specific crash analysis.</t>
        </r>
      </text>
    </comment>
    <comment ref="B30" authorId="0" shapeId="0">
      <text>
        <r>
          <rPr>
            <sz val="8"/>
            <color indexed="81"/>
            <rFont val="Verdana"/>
            <family val="2"/>
          </rPr>
          <t xml:space="preserve">1. Use the appropriate benefit calculation.
2. Fill in the appropriate information into the blank fields then calculate the PV of the category by multiplying along the line. The basis of the composite health, safety and environmental benefits used in worksheet 4 is described in chapter 8.
3. Transfer the total(s) </t>
        </r>
        <r>
          <rPr>
            <b/>
            <sz val="8"/>
            <color indexed="81"/>
            <rFont val="Verdana"/>
            <family val="2"/>
          </rPr>
          <t>(a)</t>
        </r>
        <r>
          <rPr>
            <sz val="8"/>
            <color indexed="81"/>
            <rFont val="Verdana"/>
            <family val="2"/>
          </rPr>
          <t xml:space="preserve">, </t>
        </r>
        <r>
          <rPr>
            <b/>
            <sz val="8"/>
            <color indexed="81"/>
            <rFont val="Verdana"/>
            <family val="2"/>
          </rPr>
          <t>(b)</t>
        </r>
        <r>
          <rPr>
            <sz val="8"/>
            <color indexed="81"/>
            <rFont val="Verdana"/>
            <family val="2"/>
          </rPr>
          <t xml:space="preserve">, </t>
        </r>
        <r>
          <rPr>
            <b/>
            <sz val="8"/>
            <color indexed="81"/>
            <rFont val="Verdana"/>
            <family val="2"/>
          </rPr>
          <t>(c)</t>
        </r>
        <r>
          <rPr>
            <sz val="8"/>
            <color indexed="81"/>
            <rFont val="Verdana"/>
            <family val="2"/>
          </rPr>
          <t xml:space="preserve"> or </t>
        </r>
        <r>
          <rPr>
            <b/>
            <sz val="8"/>
            <color indexed="81"/>
            <rFont val="Verdana"/>
            <family val="2"/>
          </rPr>
          <t>(d)</t>
        </r>
        <r>
          <rPr>
            <sz val="8"/>
            <color indexed="81"/>
            <rFont val="Verdana"/>
            <family val="2"/>
          </rPr>
          <t xml:space="preserve"> to </t>
        </r>
        <r>
          <rPr>
            <b/>
            <sz val="8"/>
            <color indexed="81"/>
            <rFont val="Verdana"/>
            <family val="2"/>
          </rPr>
          <t>D</t>
        </r>
        <r>
          <rPr>
            <sz val="8"/>
            <color indexed="81"/>
            <rFont val="Verdana"/>
            <family val="2"/>
          </rPr>
          <t xml:space="preserve"> on worksheet 1, and </t>
        </r>
        <r>
          <rPr>
            <b/>
            <sz val="8"/>
            <color indexed="81"/>
            <rFont val="Verdana"/>
            <family val="2"/>
          </rPr>
          <t>(e)</t>
        </r>
        <r>
          <rPr>
            <sz val="8"/>
            <color indexed="81"/>
            <rFont val="Verdana"/>
            <family val="2"/>
          </rPr>
          <t xml:space="preserve"> or </t>
        </r>
        <r>
          <rPr>
            <b/>
            <sz val="8"/>
            <color indexed="81"/>
            <rFont val="Verdana"/>
            <family val="2"/>
          </rPr>
          <t>(f)</t>
        </r>
        <r>
          <rPr>
            <sz val="8"/>
            <color indexed="81"/>
            <rFont val="Verdana"/>
            <family val="2"/>
          </rPr>
          <t xml:space="preserve"> to </t>
        </r>
        <r>
          <rPr>
            <b/>
            <sz val="8"/>
            <color indexed="81"/>
            <rFont val="Verdana"/>
            <family val="2"/>
          </rPr>
          <t>E</t>
        </r>
        <r>
          <rPr>
            <sz val="8"/>
            <color indexed="81"/>
            <rFont val="Verdana"/>
            <family val="2"/>
          </rPr>
          <t xml:space="preserve"> on worksheet 1 in the absence of a specific crash analysis.</t>
        </r>
      </text>
    </comment>
  </commentList>
</comments>
</file>

<file path=xl/comments8.xml><?xml version="1.0" encoding="utf-8"?>
<comments xmlns="http://schemas.openxmlformats.org/spreadsheetml/2006/main">
  <authors>
    <author>Information Services</author>
  </authors>
  <commentList>
    <comment ref="A14" authorId="0" shapeId="0">
      <text>
        <r>
          <rPr>
            <sz val="8"/>
            <color indexed="81"/>
            <rFont val="Tahoma"/>
            <family val="2"/>
          </rPr>
          <t>3. Enter number of years of typical crash rate records</t>
        </r>
      </text>
    </comment>
    <comment ref="A15" authorId="0" shapeId="0">
      <text>
        <r>
          <rPr>
            <sz val="8"/>
            <color indexed="81"/>
            <rFont val="Tahoma"/>
            <family val="2"/>
          </rPr>
          <t>4. Enter the number of reported crashes in the reporting period for each of the severity categories</t>
        </r>
      </text>
    </comment>
    <comment ref="A16" authorId="0" shapeId="0">
      <text>
        <r>
          <rPr>
            <sz val="8"/>
            <color indexed="81"/>
            <rFont val="Tahoma"/>
            <family val="2"/>
          </rPr>
          <t>5. If the number of fatal and serious crashes at the site is greater than the limiting number specified in appendix A6.1, leave line (5) blank and go to line (6). Otherwise, in line (5) enter the ratio of fatal/(fatal + serious) and serious/(fatal + serious) from the table A6.19 series (all movements, all vehicles).</t>
        </r>
      </text>
    </comment>
    <comment ref="A17" authorId="0" shapeId="0">
      <text>
        <r>
          <rPr>
            <sz val="8"/>
            <color indexed="81"/>
            <rFont val="Tahoma"/>
            <family val="2"/>
          </rPr>
          <t>6. Multiply the total fatal + serious crashes (4) by the ratios (5) to get the adjusted fatal and serious crashes (6) for the reporting period. For minor and non–injury crashes transfer the crash numbers from (4).</t>
        </r>
      </text>
    </comment>
    <comment ref="A18" authorId="0" shapeId="0">
      <text>
        <r>
          <rPr>
            <sz val="8"/>
            <color indexed="81"/>
            <rFont val="Tahoma"/>
            <family val="2"/>
          </rPr>
          <t>7. To get the crashes per year, divide (6) by (3).</t>
        </r>
      </text>
    </comment>
    <comment ref="A19" authorId="0" shapeId="0">
      <text>
        <r>
          <rPr>
            <sz val="8"/>
            <color indexed="81"/>
            <rFont val="Tahoma"/>
            <family val="2"/>
          </rPr>
          <t>8. Enter the adjustment factor for the crash trend from table A6.1(a)</t>
        </r>
      </text>
    </comment>
    <comment ref="A20" authorId="0" shapeId="0">
      <text>
        <r>
          <rPr>
            <sz val="8"/>
            <color indexed="81"/>
            <rFont val="Tahoma"/>
            <family val="2"/>
          </rPr>
          <t>9. Multiply (7) by (8) to obtain the crashes per year (at time zero) for each crash category</t>
        </r>
      </text>
    </comment>
    <comment ref="A21" authorId="0" shapeId="0">
      <text>
        <r>
          <rPr>
            <sz val="8"/>
            <color indexed="81"/>
            <rFont val="Tahoma"/>
            <family val="2"/>
          </rPr>
          <t>10. Enter the under–reporting factors from tables A6.20(a) and A6.20(b)</t>
        </r>
      </text>
    </comment>
    <comment ref="A22" authorId="0" shapeId="0">
      <text>
        <r>
          <rPr>
            <sz val="8"/>
            <color indexed="81"/>
            <rFont val="Tahoma"/>
            <family val="2"/>
          </rPr>
          <t>11. Multiply (9) by (10) to get the total estimated crashes per year</t>
        </r>
      </text>
    </comment>
    <comment ref="A23" authorId="0" shapeId="0">
      <text>
        <r>
          <rPr>
            <sz val="8"/>
            <color indexed="81"/>
            <rFont val="Tahoma"/>
            <family val="2"/>
          </rPr>
          <t>12. Enter the crash costs for 100km/h speed limit for each crash category (all movements, all vehicles) from the table A6.21 series</t>
        </r>
      </text>
    </comment>
    <comment ref="A24" authorId="0" shapeId="0">
      <text>
        <r>
          <rPr>
            <sz val="8"/>
            <color indexed="81"/>
            <rFont val="Tahoma"/>
            <family val="2"/>
          </rPr>
          <t>13. Enter the crash costs for 50 km/h speed limit for each crash category (all movements, all vehicles) from the table A6.21 series</t>
        </r>
      </text>
    </comment>
    <comment ref="A25" authorId="0" shapeId="0">
      <text>
        <r>
          <rPr>
            <sz val="8"/>
            <color indexed="81"/>
            <rFont val="Tahoma"/>
            <family val="2"/>
          </rPr>
          <t>14. Calculate the mean speed adjustment for the do minimum [((1) – 50) divided by 50]</t>
        </r>
      </text>
    </comment>
    <comment ref="A26" authorId="0" shapeId="0">
      <text>
        <r>
          <rPr>
            <sz val="8"/>
            <color indexed="81"/>
            <rFont val="Tahoma"/>
            <family val="2"/>
          </rPr>
          <t>15. Calculate the cost per crash for the do minimum by adding (13) and (14) and then multiplying this by the difference between crash costs in (12) and (13).</t>
        </r>
      </text>
    </comment>
    <comment ref="A27" authorId="0" shapeId="0">
      <text>
        <r>
          <rPr>
            <sz val="8"/>
            <color indexed="81"/>
            <rFont val="Tahoma"/>
            <family val="2"/>
          </rPr>
          <t>16. Multiply crashes per year (11) by (15) to get cost per crash per year</t>
        </r>
      </text>
    </comment>
    <comment ref="A28" authorId="0" shapeId="0">
      <text>
        <r>
          <rPr>
            <sz val="8"/>
            <color indexed="81"/>
            <rFont val="Tahoma"/>
            <family val="2"/>
          </rPr>
          <t>17. Add the costs for fatal, serious, minor and non–injury crashes in line (16) to get the total crash cost per year</t>
        </r>
      </text>
    </comment>
    <comment ref="A30" authorId="0" shapeId="0">
      <text>
        <r>
          <rPr>
            <sz val="8"/>
            <color indexed="81"/>
            <rFont val="Tahoma"/>
            <family val="2"/>
          </rPr>
          <t xml:space="preserve">18. Determine the forecast percentage crash reduction for each crash category </t>
        </r>
      </text>
    </comment>
    <comment ref="A31" authorId="0" shapeId="0">
      <text>
        <r>
          <rPr>
            <sz val="8"/>
            <color indexed="81"/>
            <rFont val="Tahoma"/>
            <family val="2"/>
          </rPr>
          <t>19. Determine the proportion of crashes remaining [100% minus the percentage reduction in (18)]</t>
        </r>
      </text>
    </comment>
    <comment ref="A32" authorId="0" shapeId="0">
      <text>
        <r>
          <rPr>
            <sz val="8"/>
            <color indexed="81"/>
            <rFont val="Tahoma"/>
            <family val="2"/>
          </rPr>
          <t>20. Calculate the predicted crashes per year by multiplying the crashes per year of the do minimum (11) by the percentage of crashes remaining (19)</t>
        </r>
      </text>
    </comment>
    <comment ref="A33" authorId="0" shapeId="0">
      <text>
        <r>
          <rPr>
            <sz val="8"/>
            <color indexed="81"/>
            <rFont val="Tahoma"/>
            <family val="2"/>
          </rPr>
          <t>21. Repeat the calculations from lines (12) through (15), in lines (21) through (24) using the option mean speed (2), to obtain the cost per crash for the option (24)</t>
        </r>
      </text>
    </comment>
    <comment ref="A37" authorId="0" shapeId="0">
      <text>
        <r>
          <rPr>
            <sz val="8"/>
            <color indexed="81"/>
            <rFont val="Tahoma"/>
            <family val="2"/>
          </rPr>
          <t>25. Multiply the predicted number of crashes per year (20) by the cost per crash (24) to get the total crash costs per year for each crash category</t>
        </r>
      </text>
    </comment>
    <comment ref="A38" authorId="0" shapeId="0">
      <text>
        <r>
          <rPr>
            <sz val="8"/>
            <color indexed="81"/>
            <rFont val="Tahoma"/>
            <family val="2"/>
          </rPr>
          <t xml:space="preserve">26. Add together the costs for fatal, serious, minor and non–injury crashes to get total crash costs per year </t>
        </r>
      </text>
    </comment>
    <comment ref="A39" authorId="0" shapeId="0">
      <text>
        <r>
          <rPr>
            <sz val="8"/>
            <color indexed="81"/>
            <rFont val="Tahoma"/>
            <family val="2"/>
          </rPr>
          <t xml:space="preserve">27. Calculate the annual crash cost savings by subtracting the values in (26) from (17). </t>
        </r>
      </text>
    </comment>
    <comment ref="A40" authorId="0" shapeId="0">
      <text>
        <r>
          <rPr>
            <sz val="8"/>
            <color indexed="81"/>
            <rFont val="Tahoma"/>
            <family val="2"/>
          </rPr>
          <t>28. Multiply the annual crash cost savings (27) – or the total from the crash rate or weighted crash analysis – by the discount factor for the appropriate speed limit and traffic growth rate to determine the PV crash cost savings.</t>
        </r>
      </text>
    </comment>
    <comment ref="A41" authorId="0" shapeId="0">
      <text>
        <r>
          <rPr>
            <sz val="8"/>
            <color indexed="81"/>
            <rFont val="Tahoma"/>
            <family val="2"/>
          </rPr>
          <t>Transfer this total, E for the preferred option to worksheet 1.</t>
        </r>
      </text>
    </comment>
  </commentList>
</comments>
</file>

<file path=xl/comments9.xml><?xml version="1.0" encoding="utf-8"?>
<comments xmlns="http://schemas.openxmlformats.org/spreadsheetml/2006/main">
  <authors>
    <author>Infrastructural Services</author>
  </authors>
  <commentList>
    <comment ref="B9" authorId="0" shapeId="0">
      <text>
        <r>
          <rPr>
            <sz val="8"/>
            <color indexed="81"/>
            <rFont val="Verdana"/>
            <family val="2"/>
          </rPr>
          <t>1. Calculate the area within each buffer distance that is connected to the route. The buffer distances are defined at 0.4, 0.8 and 1.6 kilometres. The buffer represents the distance to the cycling facility.</t>
        </r>
      </text>
    </comment>
    <comment ref="B10" authorId="0" shapeId="0">
      <text>
        <r>
          <rPr>
            <sz val="8"/>
            <color indexed="81"/>
            <rFont val="Verdana"/>
            <family val="2"/>
          </rPr>
          <t>2. Enter the population density per square kilometre for each of the buffer zones.</t>
        </r>
      </text>
    </comment>
    <comment ref="B11" authorId="0" shapeId="0">
      <text>
        <r>
          <rPr>
            <sz val="8"/>
            <color indexed="81"/>
            <rFont val="Verdana"/>
            <family val="2"/>
          </rPr>
          <t xml:space="preserve">3. The population per buffer is calculated by multiplying the area of each buffer </t>
        </r>
        <r>
          <rPr>
            <b/>
            <sz val="8"/>
            <color indexed="81"/>
            <rFont val="Verdana"/>
            <family val="2"/>
          </rPr>
          <t>(1)</t>
        </r>
        <r>
          <rPr>
            <sz val="8"/>
            <color indexed="81"/>
            <rFont val="Verdana"/>
            <family val="2"/>
          </rPr>
          <t xml:space="preserve"> by the density per square kilometre </t>
        </r>
        <r>
          <rPr>
            <b/>
            <sz val="8"/>
            <color indexed="81"/>
            <rFont val="Verdana"/>
            <family val="2"/>
          </rPr>
          <t>(2)</t>
        </r>
        <r>
          <rPr>
            <sz val="8"/>
            <color indexed="81"/>
            <rFont val="Verdana"/>
            <family val="2"/>
          </rPr>
          <t>.</t>
        </r>
      </text>
    </comment>
    <comment ref="B12" authorId="0" shapeId="0">
      <text>
        <r>
          <rPr>
            <sz val="8"/>
            <color indexed="81"/>
            <rFont val="Verdana"/>
            <family val="2"/>
          </rPr>
          <t xml:space="preserve">4. Calculate the total population, for all buffers by calculating the sum of row </t>
        </r>
        <r>
          <rPr>
            <b/>
            <sz val="8"/>
            <color indexed="81"/>
            <rFont val="Verdana"/>
            <family val="2"/>
          </rPr>
          <t>(3)</t>
        </r>
        <r>
          <rPr>
            <sz val="8"/>
            <color indexed="81"/>
            <rFont val="Verdana"/>
            <family val="2"/>
          </rPr>
          <t>.</t>
        </r>
      </text>
    </comment>
    <comment ref="B13" authorId="0" shapeId="0">
      <text>
        <r>
          <rPr>
            <sz val="8"/>
            <color indexed="81"/>
            <rFont val="Verdana"/>
            <family val="2"/>
          </rPr>
          <t>5. Enter the cycle commute mode share. This value is the same for all buffers. Cyclist commute mode share values can be found in section 8.16.</t>
        </r>
      </text>
    </comment>
    <comment ref="B14" authorId="0" shapeId="0">
      <text>
        <r>
          <rPr>
            <sz val="8"/>
            <color indexed="81"/>
            <rFont val="Verdana"/>
            <family val="2"/>
          </rPr>
          <t xml:space="preserve">6. Row </t>
        </r>
        <r>
          <rPr>
            <b/>
            <sz val="8"/>
            <color indexed="81"/>
            <rFont val="Verdana"/>
            <family val="2"/>
          </rPr>
          <t>(6)</t>
        </r>
        <r>
          <rPr>
            <sz val="8"/>
            <color indexed="81"/>
            <rFont val="Verdana"/>
            <family val="2"/>
          </rPr>
          <t xml:space="preserve"> contains the likelihood of a new cyclist multiplier for each buffer. This adjusts for the higher likelihood for the populations living closer to the facility, to use the facility.</t>
        </r>
      </text>
    </comment>
    <comment ref="B15" authorId="0" shapeId="0">
      <text>
        <r>
          <rPr>
            <sz val="8"/>
            <color indexed="81"/>
            <rFont val="Verdana"/>
            <family val="2"/>
          </rPr>
          <t xml:space="preserve">7. Multiply the population of residents per buffer </t>
        </r>
        <r>
          <rPr>
            <b/>
            <sz val="8"/>
            <color indexed="81"/>
            <rFont val="Verdana"/>
            <family val="2"/>
          </rPr>
          <t>(3)</t>
        </r>
        <r>
          <rPr>
            <sz val="8"/>
            <color indexed="81"/>
            <rFont val="Verdana"/>
            <family val="2"/>
          </rPr>
          <t xml:space="preserve"> by the likelihood multiplier </t>
        </r>
        <r>
          <rPr>
            <b/>
            <sz val="8"/>
            <color indexed="81"/>
            <rFont val="Verdana"/>
            <family val="2"/>
          </rPr>
          <t>(6)</t>
        </r>
        <r>
          <rPr>
            <sz val="8"/>
            <color indexed="81"/>
            <rFont val="Verdana"/>
            <family val="2"/>
          </rPr>
          <t>.</t>
        </r>
      </text>
    </comment>
    <comment ref="B16" authorId="0" shapeId="0">
      <text>
        <r>
          <rPr>
            <sz val="8"/>
            <color indexed="81"/>
            <rFont val="Verdana"/>
            <family val="2"/>
          </rPr>
          <t xml:space="preserve">8. Calculate the sum of row </t>
        </r>
        <r>
          <rPr>
            <b/>
            <sz val="8"/>
            <color indexed="81"/>
            <rFont val="Verdana"/>
            <family val="2"/>
          </rPr>
          <t>(7)</t>
        </r>
        <r>
          <rPr>
            <sz val="8"/>
            <color indexed="81"/>
            <rFont val="Verdana"/>
            <family val="2"/>
          </rPr>
          <t>.</t>
        </r>
      </text>
    </comment>
    <comment ref="B17" authorId="0" shapeId="0">
      <text>
        <r>
          <rPr>
            <sz val="8"/>
            <color indexed="81"/>
            <rFont val="Verdana"/>
            <family val="2"/>
          </rPr>
          <t xml:space="preserve">9. Calculate the cyclist rate by multiplying the cyclist commute share </t>
        </r>
        <r>
          <rPr>
            <b/>
            <sz val="8"/>
            <color indexed="81"/>
            <rFont val="Verdana"/>
            <family val="2"/>
          </rPr>
          <t>(5)</t>
        </r>
        <r>
          <rPr>
            <sz val="8"/>
            <color indexed="81"/>
            <rFont val="Verdana"/>
            <family val="2"/>
          </rPr>
          <t xml:space="preserve"> by 0.96, then add on 0.32.</t>
        </r>
      </text>
    </comment>
    <comment ref="B18" authorId="0" shapeId="0">
      <text>
        <r>
          <rPr>
            <sz val="8"/>
            <color indexed="81"/>
            <rFont val="Verdana"/>
            <family val="2"/>
          </rPr>
          <t xml:space="preserve">10. Calculate the total number of existing daily cyclists by multiplying the sum in row </t>
        </r>
        <r>
          <rPr>
            <b/>
            <sz val="8"/>
            <color indexed="81"/>
            <rFont val="Verdana"/>
            <family val="2"/>
          </rPr>
          <t>(4)</t>
        </r>
        <r>
          <rPr>
            <sz val="8"/>
            <color indexed="81"/>
            <rFont val="Verdana"/>
            <family val="2"/>
          </rPr>
          <t xml:space="preserve"> by the cyclist rate </t>
        </r>
        <r>
          <rPr>
            <b/>
            <sz val="8"/>
            <color indexed="81"/>
            <rFont val="Verdana"/>
            <family val="2"/>
          </rPr>
          <t>(9)</t>
        </r>
        <r>
          <rPr>
            <sz val="8"/>
            <color indexed="81"/>
            <rFont val="Verdana"/>
            <family val="2"/>
          </rPr>
          <t>.</t>
        </r>
      </text>
    </comment>
    <comment ref="B19" authorId="0" shapeId="0">
      <text>
        <r>
          <rPr>
            <sz val="8"/>
            <color indexed="81"/>
            <rFont val="Verdana"/>
            <family val="2"/>
          </rPr>
          <t xml:space="preserve">11. Calculate the total number of new daily cyclists by multiplying the sum in row </t>
        </r>
        <r>
          <rPr>
            <b/>
            <sz val="8"/>
            <color indexed="81"/>
            <rFont val="Verdana"/>
            <family val="2"/>
          </rPr>
          <t>(8)</t>
        </r>
        <r>
          <rPr>
            <sz val="8"/>
            <color indexed="81"/>
            <rFont val="Verdana"/>
            <family val="2"/>
          </rPr>
          <t xml:space="preserve"> by the cyclist rate </t>
        </r>
        <r>
          <rPr>
            <b/>
            <sz val="8"/>
            <color indexed="81"/>
            <rFont val="Verdana"/>
            <family val="2"/>
          </rPr>
          <t>(9)</t>
        </r>
        <r>
          <rPr>
            <sz val="8"/>
            <color indexed="81"/>
            <rFont val="Verdana"/>
            <family val="2"/>
          </rPr>
          <t>.</t>
        </r>
      </text>
    </comment>
  </commentList>
</comments>
</file>

<file path=xl/sharedStrings.xml><?xml version="1.0" encoding="utf-8"?>
<sst xmlns="http://schemas.openxmlformats.org/spreadsheetml/2006/main" count="1468" uniqueCount="688">
  <si>
    <t>Evaluator(s)</t>
  </si>
  <si>
    <t>Reviewer(s)</t>
  </si>
  <si>
    <t>Approved organisation name</t>
  </si>
  <si>
    <t>Your reference</t>
  </si>
  <si>
    <t>Location</t>
  </si>
  <si>
    <t>Brief description of location</t>
  </si>
  <si>
    <t>Alternatives and options</t>
  </si>
  <si>
    <t>Summarise the options assessed</t>
  </si>
  <si>
    <t>Timing</t>
  </si>
  <si>
    <t>Time zero (assumed construction start date)</t>
  </si>
  <si>
    <t>Expected duration of construction (months)</t>
  </si>
  <si>
    <t>Economic efficiency</t>
  </si>
  <si>
    <t>Date economic evaluation completed (mm/yyyy)</t>
  </si>
  <si>
    <t>Base date for costs and benefits</t>
  </si>
  <si>
    <t>km/h</t>
  </si>
  <si>
    <t>km</t>
  </si>
  <si>
    <t>$</t>
  </si>
  <si>
    <t>A</t>
  </si>
  <si>
    <t>= $</t>
  </si>
  <si>
    <t>Y</t>
  </si>
  <si>
    <t>=</t>
  </si>
  <si>
    <t>%</t>
  </si>
  <si>
    <t>PV of periodic maintenance costs</t>
  </si>
  <si>
    <t>Year</t>
  </si>
  <si>
    <t>Type of maintenance</t>
  </si>
  <si>
    <t>Amount $</t>
  </si>
  <si>
    <t>SPPWF</t>
  </si>
  <si>
    <t>Present value</t>
  </si>
  <si>
    <t>(a)</t>
  </si>
  <si>
    <t>(b)</t>
  </si>
  <si>
    <t>PV of annual maintenance and inspection costs following the work</t>
  </si>
  <si>
    <t>(c)</t>
  </si>
  <si>
    <t>Option</t>
  </si>
  <si>
    <t>Movement category</t>
  </si>
  <si>
    <t>Fatal</t>
  </si>
  <si>
    <t>Serious</t>
  </si>
  <si>
    <t>Minor</t>
  </si>
  <si>
    <t>E</t>
  </si>
  <si>
    <t>Time zero</t>
  </si>
  <si>
    <t>Base date</t>
  </si>
  <si>
    <t>Option A</t>
  </si>
  <si>
    <t>Option B</t>
  </si>
  <si>
    <t>Option C</t>
  </si>
  <si>
    <t>Base option for comparison</t>
  </si>
  <si>
    <t>Next higher cost option</t>
  </si>
  <si>
    <t>Incremental analysis</t>
  </si>
  <si>
    <t>Speed limit</t>
  </si>
  <si>
    <t>Traffic growth rate</t>
  </si>
  <si>
    <t>50 and 60 km/h</t>
  </si>
  <si>
    <t>70 km/h and above</t>
  </si>
  <si>
    <t>Movement codes</t>
  </si>
  <si>
    <t>AB,B</t>
  </si>
  <si>
    <t>AD,CB,CC,CO,D</t>
  </si>
  <si>
    <t>CA</t>
  </si>
  <si>
    <t>Q</t>
  </si>
  <si>
    <t>AA,AC,AE-AO,GE</t>
  </si>
  <si>
    <t>N,P</t>
  </si>
  <si>
    <t>FB,FC,GD</t>
  </si>
  <si>
    <t>FD,FE,FF,FO</t>
  </si>
  <si>
    <t>FA,GA-GC,GO</t>
  </si>
  <si>
    <t>H</t>
  </si>
  <si>
    <t>J,K,L,M</t>
  </si>
  <si>
    <t>All movements</t>
  </si>
  <si>
    <t>Push cycle</t>
  </si>
  <si>
    <t>Motor cycle</t>
  </si>
  <si>
    <t>Bus</t>
  </si>
  <si>
    <t>Truck</t>
  </si>
  <si>
    <t>Car, van &amp; other</t>
  </si>
  <si>
    <t>All vehicles</t>
  </si>
  <si>
    <t>A6.9</t>
  </si>
  <si>
    <r>
      <t>Tables</t>
    </r>
    <r>
      <rPr>
        <sz val="9"/>
        <rFont val="Verdana"/>
        <family val="2"/>
      </rPr>
      <t>, continued</t>
    </r>
  </si>
  <si>
    <t>Table A6.19(a)</t>
  </si>
  <si>
    <t>Ratio of fatal to serious accident severities by movement for 50 km/h</t>
  </si>
  <si>
    <t>speed limit areas</t>
  </si>
  <si>
    <t>CAS movement codes</t>
  </si>
  <si>
    <t>Fatal/</t>
  </si>
  <si>
    <t>(fatal + serious)</t>
  </si>
  <si>
    <t>Serious/</t>
  </si>
  <si>
    <t xml:space="preserve">Head on </t>
  </si>
  <si>
    <t xml:space="preserve">Hit object </t>
  </si>
  <si>
    <t xml:space="preserve">Lost control off Road </t>
  </si>
  <si>
    <t xml:space="preserve">Lost control on road </t>
  </si>
  <si>
    <t xml:space="preserve">Miscellaneous </t>
  </si>
  <si>
    <t xml:space="preserve">Overtaking </t>
  </si>
  <si>
    <t xml:space="preserve">AA,AC,AE-AO,GE </t>
  </si>
  <si>
    <t xml:space="preserve">Pedestrian </t>
  </si>
  <si>
    <t xml:space="preserve">N,P </t>
  </si>
  <si>
    <t xml:space="preserve">Rear end, crossing </t>
  </si>
  <si>
    <t xml:space="preserve">FB,FC,GD </t>
  </si>
  <si>
    <t xml:space="preserve">Rear end, queuing </t>
  </si>
  <si>
    <t xml:space="preserve">FD,FE,FF,FO </t>
  </si>
  <si>
    <t xml:space="preserve">Rear end, slow vehicle </t>
  </si>
  <si>
    <t xml:space="preserve">FA,GA-GC,GO </t>
  </si>
  <si>
    <t xml:space="preserve">Crossing, direct </t>
  </si>
  <si>
    <t xml:space="preserve">H </t>
  </si>
  <si>
    <t xml:space="preserve">Crossing, turning </t>
  </si>
  <si>
    <t xml:space="preserve">J,K,L,M </t>
  </si>
  <si>
    <t xml:space="preserve">All movements </t>
  </si>
  <si>
    <t>Table A6.19(b)</t>
  </si>
  <si>
    <t>Ratio of fatal to serious accident severities by movement for 70 km/h speed limit areas</t>
  </si>
  <si>
    <t xml:space="preserve">AB,B </t>
  </si>
  <si>
    <t xml:space="preserve">E </t>
  </si>
  <si>
    <t xml:space="preserve">Lost control off road </t>
  </si>
  <si>
    <t xml:space="preserve">AD,CB,CC,CO,D </t>
  </si>
  <si>
    <t xml:space="preserve">CA </t>
  </si>
  <si>
    <t xml:space="preserve">Q </t>
  </si>
  <si>
    <t>Table A6.19(c)</t>
  </si>
  <si>
    <t>Ratio of fatal to serious accident severities by movement for 100 km/h speed limit areas</t>
  </si>
  <si>
    <t>Fatal /</t>
  </si>
  <si>
    <t>Serious /</t>
  </si>
  <si>
    <t>Table A6.20(a)</t>
  </si>
  <si>
    <t>Factors for converting from reported injury accidents to total injury accident</t>
  </si>
  <si>
    <t>50, 60 and 70 km/h speed limit</t>
  </si>
  <si>
    <t>Pedestrian</t>
  </si>
  <si>
    <t>Other</t>
  </si>
  <si>
    <t>80 and 100 km/h speed limit   (excluding motorways)</t>
  </si>
  <si>
    <t>100 km/h speed limit      remote rural area</t>
  </si>
  <si>
    <t>Motorway</t>
  </si>
  <si>
    <t>All</t>
  </si>
  <si>
    <t>Table A6.20(b)</t>
  </si>
  <si>
    <t>Factor for converting from reported non-injury accidents to total non-injury accidents</t>
  </si>
  <si>
    <t>Speed limit area</t>
  </si>
  <si>
    <t>50,60 or 70 km/h</t>
  </si>
  <si>
    <t xml:space="preserve">80 or 100 km/h </t>
  </si>
  <si>
    <t>Table A6.21(a)</t>
  </si>
  <si>
    <t>Cost per accident by movement and vehicle involvement for fatal injury accidents in 50 km/h speed limit areas</t>
  </si>
  <si>
    <t>50 km/h speed limit fatal injury accidents</t>
  </si>
  <si>
    <t>Total cost per accident ($ July 2006)</t>
  </si>
  <si>
    <t>Car, van</t>
  </si>
  <si>
    <t>&amp; other</t>
  </si>
  <si>
    <t>Head on</t>
  </si>
  <si>
    <t>Hit object</t>
  </si>
  <si>
    <t>Lost control off road</t>
  </si>
  <si>
    <t>Lost control on road</t>
  </si>
  <si>
    <t>Miscellaneous</t>
  </si>
  <si>
    <t>Overtaking</t>
  </si>
  <si>
    <t>Rear end, crossing</t>
  </si>
  <si>
    <t>Rear end, queuing</t>
  </si>
  <si>
    <t>Rear end, slow vehicle</t>
  </si>
  <si>
    <t>Crossing, direct</t>
  </si>
  <si>
    <t>Crossing, turning</t>
  </si>
  <si>
    <t>Table A6.21(b)</t>
  </si>
  <si>
    <t>Cost per accident by movement and vehicle involvement for serious injury accidents in 50 km/h speed limit areas</t>
  </si>
  <si>
    <t>50 km/h speed limit serious injury accidents</t>
  </si>
  <si>
    <t>Table A6.21(c)</t>
  </si>
  <si>
    <t>Cost per accident by movement and vehicle involvement for minor injury accidents in 50 km/h speed limit areas</t>
  </si>
  <si>
    <t>50 km/h speed limit</t>
  </si>
  <si>
    <t>minor injury accidents</t>
  </si>
  <si>
    <t>Table A6.21(d)</t>
  </si>
  <si>
    <t>Cost per accident by movement and vehicle involvement for non-injury accidents in 50 km/h speed limit areas</t>
  </si>
  <si>
    <t>50 km/h speed limit non-injury accidents</t>
  </si>
  <si>
    <t>Table A6.21(e)</t>
  </si>
  <si>
    <t>Cost per accident by movement and vehicle involvement for fatal injury accidents in 100 km/h speed limit areas</t>
  </si>
  <si>
    <t>100 km/h speed limit fatal injury accidents</t>
  </si>
  <si>
    <t>Table A6.21(f)</t>
  </si>
  <si>
    <t>Cost per accident by movement and vehicle involvement for serious injury accidents in 100 km/h speed limit areas</t>
  </si>
  <si>
    <t>100 km/h speed limit serious injury accidents</t>
  </si>
  <si>
    <t>Table A6.21(g)</t>
  </si>
  <si>
    <t>Cost per accident by movement and vehicle involvement for minor injury accidents in 100 km/h speed limit areas</t>
  </si>
  <si>
    <t>100 km/h speed limit minor injury accidents</t>
  </si>
  <si>
    <t>Table A6.21(h)</t>
  </si>
  <si>
    <t>Cost per accident by movement and vehicle involvement for non-injury accidents in 100 km/h speed limit areas</t>
  </si>
  <si>
    <t>100 km/h speed limit non-injury accidents</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</si>
  <si>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</si>
  <si>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</si>
  <si>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</si>
  <si>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</si>
  <si>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</si>
  <si>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</si>
  <si>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</si>
  <si>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</si>
  <si>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</si>
  <si>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</si>
  <si>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</si>
  <si>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</si>
  <si>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</si>
  <si>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</si>
  <si>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</si>
  <si>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</si>
  <si>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</si>
  <si>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</si>
  <si>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</si>
  <si>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</si>
  <si>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Step 1</t>
  </si>
  <si>
    <t>Step 2</t>
  </si>
  <si>
    <t>Step 3</t>
  </si>
  <si>
    <t xml:space="preserve"> </t>
  </si>
  <si>
    <t>1 July</t>
  </si>
  <si>
    <t>Period of analysis</t>
  </si>
  <si>
    <t>Land designation required</t>
  </si>
  <si>
    <t>yes</t>
  </si>
  <si>
    <t>no</t>
  </si>
  <si>
    <t>Estimated motor vehicle volumes</t>
  </si>
  <si>
    <t>Estimated motor vehicle speed</t>
  </si>
  <si>
    <t>Pedestrian/cyclist growth rate</t>
  </si>
  <si>
    <t>AADT</t>
  </si>
  <si>
    <t>Width available for walking/cycling after</t>
  </si>
  <si>
    <t>m</t>
  </si>
  <si>
    <t>Length walked/cycled before works</t>
  </si>
  <si>
    <t>Length walked/cycled after works</t>
  </si>
  <si>
    <t>Expected reduction in private vehicle travel</t>
  </si>
  <si>
    <t>X</t>
  </si>
  <si>
    <t xml:space="preserve"> = $</t>
  </si>
  <si>
    <t>Width available for walking/cycling before</t>
  </si>
  <si>
    <t>PV cost of the preferred option</t>
  </si>
  <si>
    <t>PV facility benefits</t>
  </si>
  <si>
    <t>X + Y + Z</t>
  </si>
  <si>
    <t>B - A</t>
  </si>
  <si>
    <t>B</t>
  </si>
  <si>
    <t>Maintenance costs for the site this year</t>
  </si>
  <si>
    <t>Periodic maintenance will be required in the following years:</t>
  </si>
  <si>
    <t>(d)</t>
  </si>
  <si>
    <t>PV cost of additional annual maintenance</t>
  </si>
  <si>
    <t>(e)</t>
  </si>
  <si>
    <t>L</t>
  </si>
  <si>
    <t>x NPD</t>
  </si>
  <si>
    <t>x 365 x $2.70 x DF</t>
  </si>
  <si>
    <t>NPD</t>
  </si>
  <si>
    <t>(f)</t>
  </si>
  <si>
    <t>x 365 x $1.40 x DF</t>
  </si>
  <si>
    <t>x 365 x $0.05 x DF</t>
  </si>
  <si>
    <t>Benefit = number of new and existing cycle trips/day x length of new facility in km x 365 x $0.05</t>
  </si>
  <si>
    <t>Accident cost savings</t>
  </si>
  <si>
    <t>Vehicle involvement</t>
  </si>
  <si>
    <t>Road category</t>
  </si>
  <si>
    <t>Posted speed limit</t>
  </si>
  <si>
    <t>Option mean speed</t>
  </si>
  <si>
    <t>Non- injury</t>
  </si>
  <si>
    <t>Fatal/serious severity ratio (tables A6.19(a) to (c))</t>
  </si>
  <si>
    <t>Under-reporting factors (tables A6.20(a) to (b))</t>
  </si>
  <si>
    <t>Density per square kilometre</t>
  </si>
  <si>
    <t>Likelihood of new cyclist multiplier</t>
  </si>
  <si>
    <t>Buffers (km)</t>
  </si>
  <si>
    <t>Travel time data</t>
  </si>
  <si>
    <t>PV of travel time cost savings</t>
  </si>
  <si>
    <t>C</t>
  </si>
  <si>
    <t>Urban arterial</t>
  </si>
  <si>
    <t>Urban other</t>
  </si>
  <si>
    <t>Rural strategic</t>
  </si>
  <si>
    <t>Rural other</t>
  </si>
  <si>
    <t>Facility benefits</t>
  </si>
  <si>
    <t>Health and environment benefits for footpaths and other pedestrian facilities</t>
  </si>
  <si>
    <t>Health and environment benefits for cycle lanes, cycleways or increased road shoulder widths</t>
  </si>
  <si>
    <t>Severity</t>
  </si>
  <si>
    <t>2026/27</t>
  </si>
  <si>
    <t>2027/28</t>
  </si>
  <si>
    <t>2028/29</t>
  </si>
  <si>
    <t>2029/30</t>
  </si>
  <si>
    <t>2030/31</t>
  </si>
  <si>
    <t>2031/32</t>
  </si>
  <si>
    <t>2032/33</t>
  </si>
  <si>
    <t>2033/34</t>
  </si>
  <si>
    <t>2034/35</t>
  </si>
  <si>
    <t>2035/36</t>
  </si>
  <si>
    <t>2036/37</t>
  </si>
  <si>
    <t>2037/38</t>
  </si>
  <si>
    <t>2038/39</t>
  </si>
  <si>
    <t>2039/40</t>
  </si>
  <si>
    <t>x 365 x $4.20 x DF</t>
  </si>
  <si>
    <t>x 365 x $0.15 x DF</t>
  </si>
  <si>
    <t>Relative attractiveness</t>
  </si>
  <si>
    <t>x NTD</t>
  </si>
  <si>
    <t>NTD</t>
  </si>
  <si>
    <t>Benefit = number of new and existing cycle trips/day x 365 x $0.15</t>
  </si>
  <si>
    <t>New and Existing cyclists</t>
  </si>
  <si>
    <t>Commute share (single value for all)</t>
  </si>
  <si>
    <t>0.4 to &lt;0.8</t>
  </si>
  <si>
    <t>0.8 to ≤ 1.6</t>
  </si>
  <si>
    <t>Worksheet 1 - Evaluation summary</t>
  </si>
  <si>
    <t>Activity description</t>
  </si>
  <si>
    <t>Describe the issues to be addressed</t>
  </si>
  <si>
    <t>Describe the do-minimum</t>
  </si>
  <si>
    <t>PV cost of do-minimum</t>
  </si>
  <si>
    <t>Benefit values from worksheet 4, 5, 6</t>
  </si>
  <si>
    <t xml:space="preserve">PV travel time cost savings  </t>
  </si>
  <si>
    <t>PV net benefits</t>
  </si>
  <si>
    <t xml:space="preserve">= </t>
  </si>
  <si>
    <t>PV economic costs</t>
  </si>
  <si>
    <t>Activity details</t>
  </si>
  <si>
    <t>Activity name</t>
  </si>
  <si>
    <t>Data (only fill the applicable data)</t>
  </si>
  <si>
    <t xml:space="preserve">Existing pedestrian/cycling volumes </t>
  </si>
  <si>
    <t>Estimated new pedestrian/cyclist volume</t>
  </si>
  <si>
    <t>AADT in year</t>
  </si>
  <si>
    <t>km per year</t>
  </si>
  <si>
    <t>Worksheet 2 - Cost of do-minimum</t>
  </si>
  <si>
    <t>Historic maintenance cost data (indicate whether assessed or actual)</t>
  </si>
  <si>
    <t>Maintenance costs for the site over last three years</t>
  </si>
  <si>
    <t>Year 1</t>
  </si>
  <si>
    <t>Year 2</t>
  </si>
  <si>
    <t>Year 3</t>
  </si>
  <si>
    <t>Sum of PV of periodic maintenance $</t>
  </si>
  <si>
    <t>PV of periodic maintenance costs (including any capital work)</t>
  </si>
  <si>
    <t>Worksheet 3 - Cost of the option(s)</t>
  </si>
  <si>
    <t>PV of estimated cost of proposed work (as per attached estimate sheet)</t>
  </si>
  <si>
    <t>PV of maintenance in year 1</t>
  </si>
  <si>
    <t>Present Value</t>
  </si>
  <si>
    <t>Sum of PV of periodic maintenance costs = $</t>
  </si>
  <si>
    <t>Worksheet 4 - Travel time cost savings</t>
  </si>
  <si>
    <t>Travel time cost (TTC)</t>
  </si>
  <si>
    <t>Length of route (km)</t>
  </si>
  <si>
    <t>Walkers and/or cyclists average annual daily traffic current (AADT) (or volumes affected by the improvement)</t>
  </si>
  <si>
    <t>Do-minimum</t>
  </si>
  <si>
    <t>Health and environment benefits for walking facility</t>
  </si>
  <si>
    <t>Health and environment benefits for cycling facility</t>
  </si>
  <si>
    <t>Safety benefits for cycling facility</t>
  </si>
  <si>
    <t>x NSD</t>
  </si>
  <si>
    <t>NSD</t>
  </si>
  <si>
    <t>Do-minimum mean speed</t>
  </si>
  <si>
    <t>100 km/h speed limit  remote rural area</t>
  </si>
  <si>
    <t>Worksheet 5 - Benefits for walking and cycling facilities</t>
  </si>
  <si>
    <t>&lt;0.4</t>
  </si>
  <si>
    <t>Worksheet 7 – Cycle demand</t>
  </si>
  <si>
    <t>Target incremental BCR (from appendix A12.4)</t>
  </si>
  <si>
    <t>Worksheet 8 - BCR and incremental analysis</t>
  </si>
  <si>
    <t>PV Maintenance costs</t>
  </si>
  <si>
    <r>
      <t>C</t>
    </r>
    <r>
      <rPr>
        <sz val="8"/>
        <rFont val="Verdana"/>
        <family val="2"/>
      </rPr>
      <t xml:space="preserve"> x Update factor </t>
    </r>
    <r>
      <rPr>
        <vertAlign val="superscript"/>
        <sz val="8"/>
        <rFont val="Verdana"/>
        <family val="2"/>
      </rPr>
      <t>TTC</t>
    </r>
  </si>
  <si>
    <r>
      <t>D</t>
    </r>
    <r>
      <rPr>
        <sz val="8"/>
        <rFont val="Verdana"/>
        <family val="2"/>
      </rPr>
      <t xml:space="preserve"> x Update factor </t>
    </r>
    <r>
      <rPr>
        <vertAlign val="superscript"/>
        <sz val="8"/>
        <rFont val="Verdana"/>
        <family val="2"/>
      </rPr>
      <t>WCB</t>
    </r>
  </si>
  <si>
    <r>
      <t>E</t>
    </r>
    <r>
      <rPr>
        <sz val="8"/>
        <rFont val="Verdana"/>
        <family val="2"/>
      </rPr>
      <t xml:space="preserve"> x Update factor </t>
    </r>
    <r>
      <rPr>
        <vertAlign val="superscript"/>
        <sz val="8"/>
        <rFont val="Verdana"/>
        <family val="2"/>
      </rPr>
      <t>AC</t>
    </r>
  </si>
  <si>
    <r>
      <t>BCR</t>
    </r>
    <r>
      <rPr>
        <vertAlign val="subscript"/>
        <sz val="8"/>
        <rFont val="Verdana"/>
        <family val="2"/>
      </rPr>
      <t>N</t>
    </r>
    <r>
      <rPr>
        <sz val="8"/>
        <rFont val="Verdana"/>
        <family val="2"/>
      </rPr>
      <t xml:space="preserve">   =</t>
    </r>
  </si>
  <si>
    <r>
      <t xml:space="preserve">Transfer the PV cost of do minimum </t>
    </r>
    <r>
      <rPr>
        <b/>
        <sz val="8"/>
        <rFont val="Verdana"/>
        <family val="2"/>
      </rPr>
      <t>A</t>
    </r>
    <r>
      <rPr>
        <sz val="8"/>
        <rFont val="Verdana"/>
        <family val="2"/>
      </rPr>
      <t xml:space="preserve">, to </t>
    </r>
    <r>
      <rPr>
        <b/>
        <sz val="8"/>
        <rFont val="Verdana"/>
        <family val="2"/>
      </rPr>
      <t>A</t>
    </r>
    <r>
      <rPr>
        <sz val="8"/>
        <rFont val="Verdana"/>
        <family val="2"/>
      </rPr>
      <t xml:space="preserve"> on worksheet 1</t>
    </r>
  </si>
  <si>
    <r>
      <t>L</t>
    </r>
    <r>
      <rPr>
        <vertAlign val="superscript"/>
        <sz val="8"/>
        <rFont val="Verdana"/>
        <family val="2"/>
      </rPr>
      <t>dm</t>
    </r>
  </si>
  <si>
    <r>
      <t>L</t>
    </r>
    <r>
      <rPr>
        <vertAlign val="superscript"/>
        <sz val="8"/>
        <rFont val="Verdana"/>
        <family val="2"/>
      </rPr>
      <t>opt</t>
    </r>
  </si>
  <si>
    <r>
      <t>VS</t>
    </r>
    <r>
      <rPr>
        <vertAlign val="superscript"/>
        <sz val="8"/>
        <rFont val="Verdana"/>
        <family val="2"/>
      </rPr>
      <t>dm</t>
    </r>
  </si>
  <si>
    <r>
      <t>VS</t>
    </r>
    <r>
      <rPr>
        <vertAlign val="superscript"/>
        <sz val="8"/>
        <rFont val="Verdana"/>
        <family val="2"/>
      </rPr>
      <t>opt</t>
    </r>
  </si>
  <si>
    <r>
      <t>AADT x 365 x L</t>
    </r>
    <r>
      <rPr>
        <vertAlign val="superscript"/>
        <sz val="8"/>
        <rFont val="Verdana"/>
        <family val="2"/>
      </rPr>
      <t>dm</t>
    </r>
    <r>
      <rPr>
        <sz val="8"/>
        <rFont val="Verdana"/>
        <family val="2"/>
      </rPr>
      <t xml:space="preserve"> x TTC</t>
    </r>
  </si>
  <si>
    <r>
      <t>VS</t>
    </r>
    <r>
      <rPr>
        <vertAlign val="superscript"/>
        <sz val="8"/>
        <rFont val="Verdana"/>
        <family val="2"/>
      </rPr>
      <t>opt</t>
    </r>
    <r>
      <rPr>
        <sz val="8"/>
        <rFont val="Verdana"/>
        <family val="2"/>
      </rPr>
      <t xml:space="preserve"> x RA</t>
    </r>
  </si>
  <si>
    <r>
      <t>(a) - (b)</t>
    </r>
    <r>
      <rPr>
        <sz val="8"/>
        <rFont val="Verdana"/>
        <family val="2"/>
      </rPr>
      <t xml:space="preserve"> = $</t>
    </r>
  </si>
  <si>
    <r>
      <t>Transfer the PV of travel time cost savings for the preferred option</t>
    </r>
    <r>
      <rPr>
        <b/>
        <sz val="8"/>
        <rFont val="Verdana"/>
        <family val="2"/>
      </rPr>
      <t xml:space="preserve"> C</t>
    </r>
    <r>
      <rPr>
        <sz val="8"/>
        <rFont val="Verdana"/>
        <family val="2"/>
      </rPr>
      <t xml:space="preserve">, to </t>
    </r>
    <r>
      <rPr>
        <b/>
        <sz val="8"/>
        <rFont val="Verdana"/>
        <family val="2"/>
      </rPr>
      <t>C</t>
    </r>
    <r>
      <rPr>
        <sz val="8"/>
        <rFont val="Verdana"/>
        <family val="2"/>
      </rPr>
      <t xml:space="preserve"> on worksheet 1</t>
    </r>
  </si>
  <si>
    <r>
      <t>Mean speed adjustment = (</t>
    </r>
    <r>
      <rPr>
        <b/>
        <sz val="8"/>
        <rFont val="Verdana"/>
        <family val="2"/>
      </rPr>
      <t xml:space="preserve">(1) </t>
    </r>
    <r>
      <rPr>
        <sz val="8"/>
        <rFont val="Verdana"/>
        <family val="2"/>
      </rPr>
      <t xml:space="preserve"> - 50)/50</t>
    </r>
  </si>
  <si>
    <r>
      <t>Mean speed adjustment = (</t>
    </r>
    <r>
      <rPr>
        <b/>
        <sz val="8"/>
        <rFont val="Verdana"/>
        <family val="2"/>
      </rPr>
      <t>(2)</t>
    </r>
    <r>
      <rPr>
        <sz val="8"/>
        <rFont val="Verdana"/>
        <family val="2"/>
      </rPr>
      <t xml:space="preserve"> - 50)/50</t>
    </r>
  </si>
  <si>
    <r>
      <t>Area (km</t>
    </r>
    <r>
      <rPr>
        <vertAlign val="superscript"/>
        <sz val="8"/>
        <rFont val="Verdana"/>
        <family val="2"/>
      </rPr>
      <t>2</t>
    </r>
    <r>
      <rPr>
        <sz val="8"/>
        <rFont val="Verdana"/>
        <family val="2"/>
      </rPr>
      <t>)</t>
    </r>
  </si>
  <si>
    <r>
      <t xml:space="preserve">Population in each buffer </t>
    </r>
    <r>
      <rPr>
        <b/>
        <sz val="8"/>
        <rFont val="Verdana"/>
        <family val="2"/>
      </rPr>
      <t xml:space="preserve">(3) </t>
    </r>
    <r>
      <rPr>
        <sz val="8"/>
        <rFont val="Verdana"/>
        <family val="2"/>
      </rPr>
      <t>=</t>
    </r>
    <r>
      <rPr>
        <b/>
        <sz val="8"/>
        <rFont val="Verdana"/>
        <family val="2"/>
      </rPr>
      <t xml:space="preserve"> (1) </t>
    </r>
    <r>
      <rPr>
        <sz val="8"/>
        <rFont val="Verdana"/>
        <family val="2"/>
      </rPr>
      <t>x</t>
    </r>
    <r>
      <rPr>
        <b/>
        <sz val="8"/>
        <rFont val="Verdana"/>
        <family val="2"/>
      </rPr>
      <t xml:space="preserve"> (2)</t>
    </r>
  </si>
  <si>
    <r>
      <t xml:space="preserve">Total population in all buffers (Sum of </t>
    </r>
    <r>
      <rPr>
        <b/>
        <sz val="8"/>
        <rFont val="Verdana"/>
        <family val="2"/>
      </rPr>
      <t>(3)</t>
    </r>
    <r>
      <rPr>
        <sz val="8"/>
        <rFont val="Verdana"/>
        <family val="2"/>
      </rPr>
      <t>)</t>
    </r>
  </si>
  <si>
    <r>
      <t xml:space="preserve">Row </t>
    </r>
    <r>
      <rPr>
        <b/>
        <sz val="8"/>
        <rFont val="Verdana"/>
        <family val="2"/>
      </rPr>
      <t xml:space="preserve">(7) </t>
    </r>
    <r>
      <rPr>
        <sz val="8"/>
        <rFont val="Verdana"/>
        <family val="2"/>
      </rPr>
      <t xml:space="preserve">= </t>
    </r>
    <r>
      <rPr>
        <b/>
        <sz val="8"/>
        <rFont val="Verdana"/>
        <family val="2"/>
      </rPr>
      <t xml:space="preserve">(3) </t>
    </r>
    <r>
      <rPr>
        <sz val="8"/>
        <rFont val="Verdana"/>
        <family val="2"/>
      </rPr>
      <t xml:space="preserve">x </t>
    </r>
    <r>
      <rPr>
        <b/>
        <sz val="8"/>
        <rFont val="Verdana"/>
        <family val="2"/>
      </rPr>
      <t>(6)</t>
    </r>
  </si>
  <si>
    <r>
      <t xml:space="preserve">Sum of row </t>
    </r>
    <r>
      <rPr>
        <b/>
        <sz val="8"/>
        <rFont val="Verdana"/>
        <family val="2"/>
      </rPr>
      <t>(7)</t>
    </r>
  </si>
  <si>
    <r>
      <t xml:space="preserve">Total existing daily cyclists </t>
    </r>
    <r>
      <rPr>
        <b/>
        <sz val="8"/>
        <rFont val="Verdana"/>
        <family val="2"/>
      </rPr>
      <t xml:space="preserve">(10) </t>
    </r>
    <r>
      <rPr>
        <sz val="8"/>
        <rFont val="Verdana"/>
        <family val="2"/>
      </rPr>
      <t xml:space="preserve">= </t>
    </r>
    <r>
      <rPr>
        <b/>
        <sz val="8"/>
        <rFont val="Verdana"/>
        <family val="2"/>
      </rPr>
      <t xml:space="preserve">(4) </t>
    </r>
    <r>
      <rPr>
        <sz val="8"/>
        <rFont val="Verdana"/>
        <family val="2"/>
      </rPr>
      <t xml:space="preserve">x </t>
    </r>
    <r>
      <rPr>
        <b/>
        <sz val="8"/>
        <rFont val="Verdana"/>
        <family val="2"/>
      </rPr>
      <t>(9)</t>
    </r>
  </si>
  <si>
    <r>
      <t xml:space="preserve">Total new daily cyclists </t>
    </r>
    <r>
      <rPr>
        <b/>
        <sz val="8"/>
        <rFont val="Verdana"/>
        <family val="2"/>
      </rPr>
      <t xml:space="preserve">(11) </t>
    </r>
    <r>
      <rPr>
        <sz val="8"/>
        <rFont val="Verdana"/>
        <family val="2"/>
      </rPr>
      <t xml:space="preserve">= </t>
    </r>
    <r>
      <rPr>
        <b/>
        <sz val="8"/>
        <rFont val="Verdana"/>
        <family val="2"/>
      </rPr>
      <t xml:space="preserve">(8) </t>
    </r>
    <r>
      <rPr>
        <sz val="8"/>
        <rFont val="Verdana"/>
        <family val="2"/>
      </rPr>
      <t xml:space="preserve">x </t>
    </r>
    <r>
      <rPr>
        <b/>
        <sz val="8"/>
        <rFont val="Verdana"/>
        <family val="2"/>
      </rPr>
      <t>(9)</t>
    </r>
  </si>
  <si>
    <r>
      <t>Total costs</t>
    </r>
    <r>
      <rPr>
        <b/>
        <sz val="8"/>
        <color indexed="8"/>
        <rFont val="Verdana"/>
        <family val="2"/>
      </rPr>
      <t xml:space="preserve">
(1)</t>
    </r>
  </si>
  <si>
    <r>
      <t>Total benefits</t>
    </r>
    <r>
      <rPr>
        <b/>
        <sz val="8"/>
        <color indexed="8"/>
        <rFont val="Verdana"/>
        <family val="2"/>
      </rPr>
      <t xml:space="preserve">
(2)</t>
    </r>
  </si>
  <si>
    <r>
      <t>Total costs</t>
    </r>
    <r>
      <rPr>
        <b/>
        <sz val="8"/>
        <color indexed="8"/>
        <rFont val="Verdana"/>
        <family val="2"/>
      </rPr>
      <t xml:space="preserve">
(3)</t>
    </r>
  </si>
  <si>
    <r>
      <t>Total Benefits</t>
    </r>
    <r>
      <rPr>
        <b/>
        <sz val="8"/>
        <color indexed="8"/>
        <rFont val="Verdana"/>
        <family val="2"/>
      </rPr>
      <t xml:space="preserve">
(4)</t>
    </r>
  </si>
  <si>
    <r>
      <t>Incremental costs</t>
    </r>
    <r>
      <rPr>
        <b/>
        <sz val="8"/>
        <color indexed="8"/>
        <rFont val="Verdana"/>
        <family val="2"/>
      </rPr>
      <t xml:space="preserve">
(5)=(3)-(1)</t>
    </r>
  </si>
  <si>
    <r>
      <t>Incremental benefits</t>
    </r>
    <r>
      <rPr>
        <b/>
        <sz val="8"/>
        <color indexed="8"/>
        <rFont val="Verdana"/>
        <family val="2"/>
      </rPr>
      <t xml:space="preserve">
(6)=(4)-(2)</t>
    </r>
  </si>
  <si>
    <t>PV of annual operating costs</t>
  </si>
  <si>
    <t>Annual cost = $</t>
  </si>
  <si>
    <r>
      <t xml:space="preserve">(a) </t>
    </r>
    <r>
      <rPr>
        <sz val="8"/>
        <rFont val="Verdana"/>
        <family val="2"/>
      </rPr>
      <t xml:space="preserve">+ </t>
    </r>
    <r>
      <rPr>
        <b/>
        <sz val="8"/>
        <rFont val="Verdana"/>
        <family val="2"/>
      </rPr>
      <t xml:space="preserve">(b) </t>
    </r>
    <r>
      <rPr>
        <sz val="8"/>
        <rFont val="Verdana"/>
        <family val="2"/>
      </rPr>
      <t xml:space="preserve">+ </t>
    </r>
    <r>
      <rPr>
        <b/>
        <sz val="8"/>
        <rFont val="Verdana"/>
        <family val="2"/>
      </rPr>
      <t xml:space="preserve">(C) </t>
    </r>
    <r>
      <rPr>
        <sz val="8"/>
        <rFont val="Verdana"/>
        <family val="2"/>
      </rPr>
      <t>=</t>
    </r>
    <r>
      <rPr>
        <b/>
        <sz val="8"/>
        <rFont val="Verdana"/>
        <family val="2"/>
      </rPr>
      <t xml:space="preserve"> </t>
    </r>
    <r>
      <rPr>
        <sz val="8"/>
        <rFont val="Verdana"/>
        <family val="2"/>
      </rPr>
      <t>$</t>
    </r>
  </si>
  <si>
    <t>PV cost of the do-minimum</t>
  </si>
  <si>
    <r>
      <t xml:space="preserve">PV total costs </t>
    </r>
    <r>
      <rPr>
        <b/>
        <sz val="8"/>
        <rFont val="Verdana"/>
        <family val="2"/>
      </rPr>
      <t>(a)</t>
    </r>
    <r>
      <rPr>
        <sz val="8"/>
        <rFont val="Verdana"/>
        <family val="2"/>
      </rPr>
      <t xml:space="preserve"> +</t>
    </r>
    <r>
      <rPr>
        <b/>
        <sz val="8"/>
        <rFont val="Verdana"/>
        <family val="2"/>
      </rPr>
      <t xml:space="preserve"> (b) </t>
    </r>
    <r>
      <rPr>
        <sz val="8"/>
        <rFont val="Verdana"/>
        <family val="2"/>
      </rPr>
      <t>+</t>
    </r>
    <r>
      <rPr>
        <b/>
        <sz val="8"/>
        <rFont val="Verdana"/>
        <family val="2"/>
      </rPr>
      <t xml:space="preserve"> (c) </t>
    </r>
    <r>
      <rPr>
        <sz val="8"/>
        <rFont val="Verdana"/>
        <family val="2"/>
      </rPr>
      <t>+</t>
    </r>
    <r>
      <rPr>
        <b/>
        <sz val="8"/>
        <rFont val="Verdana"/>
        <family val="2"/>
      </rPr>
      <t xml:space="preserve"> (d) </t>
    </r>
    <r>
      <rPr>
        <sz val="8"/>
        <rFont val="Verdana"/>
        <family val="2"/>
      </rPr>
      <t>+</t>
    </r>
    <r>
      <rPr>
        <b/>
        <sz val="8"/>
        <rFont val="Verdana"/>
        <family val="2"/>
      </rPr>
      <t xml:space="preserve"> (e) </t>
    </r>
    <r>
      <rPr>
        <sz val="8"/>
        <rFont val="Verdana"/>
        <family val="2"/>
      </rPr>
      <t>= $</t>
    </r>
  </si>
  <si>
    <t>Annual TTC for the do-minimum</t>
  </si>
  <si>
    <t>Annual TTC for the option</t>
  </si>
  <si>
    <t>Value of annual TTC savings</t>
  </si>
  <si>
    <r>
      <t xml:space="preserve">Transfer total </t>
    </r>
    <r>
      <rPr>
        <b/>
        <sz val="8"/>
        <rFont val="Verdana"/>
        <family val="2"/>
      </rPr>
      <t>(a)</t>
    </r>
    <r>
      <rPr>
        <sz val="8"/>
        <rFont val="Verdana"/>
        <family val="2"/>
      </rPr>
      <t xml:space="preserve"> or</t>
    </r>
    <r>
      <rPr>
        <b/>
        <sz val="8"/>
        <rFont val="Verdana"/>
        <family val="2"/>
      </rPr>
      <t xml:space="preserve"> (b) </t>
    </r>
    <r>
      <rPr>
        <sz val="8"/>
        <rFont val="Verdana"/>
        <family val="2"/>
      </rPr>
      <t>to</t>
    </r>
    <r>
      <rPr>
        <b/>
        <sz val="8"/>
        <rFont val="Verdana"/>
        <family val="2"/>
      </rPr>
      <t xml:space="preserve"> D </t>
    </r>
    <r>
      <rPr>
        <sz val="8"/>
        <rFont val="Verdana"/>
        <family val="2"/>
      </rPr>
      <t>on worksheet 1.</t>
    </r>
  </si>
  <si>
    <r>
      <t xml:space="preserve">Transfer total </t>
    </r>
    <r>
      <rPr>
        <b/>
        <sz val="8"/>
        <rFont val="Verdana"/>
        <family val="2"/>
      </rPr>
      <t>(c)</t>
    </r>
    <r>
      <rPr>
        <sz val="8"/>
        <rFont val="Verdana"/>
        <family val="2"/>
      </rPr>
      <t xml:space="preserve"> or</t>
    </r>
    <r>
      <rPr>
        <b/>
        <sz val="8"/>
        <rFont val="Verdana"/>
        <family val="2"/>
      </rPr>
      <t xml:space="preserve"> (d) </t>
    </r>
    <r>
      <rPr>
        <sz val="8"/>
        <rFont val="Verdana"/>
        <family val="2"/>
      </rPr>
      <t>to</t>
    </r>
    <r>
      <rPr>
        <b/>
        <sz val="8"/>
        <rFont val="Verdana"/>
        <family val="2"/>
      </rPr>
      <t xml:space="preserve"> D </t>
    </r>
    <r>
      <rPr>
        <sz val="8"/>
        <rFont val="Verdana"/>
        <family val="2"/>
      </rPr>
      <t>on worksheet 1.</t>
    </r>
  </si>
  <si>
    <r>
      <t xml:space="preserve">Transfer total </t>
    </r>
    <r>
      <rPr>
        <b/>
        <sz val="8"/>
        <rFont val="Verdana"/>
        <family val="2"/>
      </rPr>
      <t>(e)</t>
    </r>
    <r>
      <rPr>
        <sz val="8"/>
        <rFont val="Verdana"/>
        <family val="2"/>
      </rPr>
      <t xml:space="preserve"> or</t>
    </r>
    <r>
      <rPr>
        <b/>
        <sz val="8"/>
        <rFont val="Verdana"/>
        <family val="2"/>
      </rPr>
      <t xml:space="preserve"> (f) </t>
    </r>
    <r>
      <rPr>
        <sz val="8"/>
        <rFont val="Verdana"/>
        <family val="2"/>
      </rPr>
      <t>to</t>
    </r>
    <r>
      <rPr>
        <b/>
        <sz val="8"/>
        <rFont val="Verdana"/>
        <family val="2"/>
      </rPr>
      <t xml:space="preserve"> E </t>
    </r>
    <r>
      <rPr>
        <sz val="8"/>
        <rFont val="Verdana"/>
        <family val="2"/>
      </rPr>
      <t>on worksheet 1.</t>
    </r>
  </si>
  <si>
    <t>Benefit = number of additional pedestrians/day x length of new facility in km x 365 x $2.70</t>
  </si>
  <si>
    <t>Benefit = number of additional  pedestrians/day x 365 x $2.70</t>
  </si>
  <si>
    <t>Benefit = number of additional cycle trips/day x length of new facility in km x 365 x $1.40</t>
  </si>
  <si>
    <t>Benefit = number of additional cycle trips/day x 365 x $4.20</t>
  </si>
  <si>
    <t xml:space="preserve">Spreadsheet problems? </t>
  </si>
  <si>
    <t>Email: eem@nzta.govt.nz</t>
  </si>
  <si>
    <t>1st July in the year</t>
  </si>
  <si>
    <t>Z</t>
  </si>
  <si>
    <t>PV of annual maintenance costs following the work</t>
  </si>
  <si>
    <t>PV of total cost of option</t>
  </si>
  <si>
    <r>
      <t xml:space="preserve">Transfer the PV total cost for the preferred option </t>
    </r>
    <r>
      <rPr>
        <b/>
        <sz val="8"/>
        <rFont val="Verdana"/>
        <family val="2"/>
      </rPr>
      <t>B</t>
    </r>
    <r>
      <rPr>
        <sz val="8"/>
        <rFont val="Verdana"/>
        <family val="2"/>
      </rPr>
      <t xml:space="preserve">, to </t>
    </r>
    <r>
      <rPr>
        <b/>
        <sz val="8"/>
        <rFont val="Verdana"/>
        <family val="2"/>
      </rPr>
      <t>B</t>
    </r>
    <r>
      <rPr>
        <sz val="8"/>
        <rFont val="Verdana"/>
        <family val="2"/>
      </rPr>
      <t xml:space="preserve"> on worksheet 1</t>
    </r>
  </si>
  <si>
    <r>
      <t xml:space="preserve">Cyclist rate </t>
    </r>
    <r>
      <rPr>
        <b/>
        <sz val="8"/>
        <rFont val="Verdana"/>
        <family val="2"/>
      </rPr>
      <t xml:space="preserve">(9) </t>
    </r>
    <r>
      <rPr>
        <sz val="8"/>
        <rFont val="Verdana"/>
        <family val="2"/>
      </rPr>
      <t>= (</t>
    </r>
    <r>
      <rPr>
        <b/>
        <sz val="8"/>
        <rFont val="Verdana"/>
        <family val="2"/>
      </rPr>
      <t xml:space="preserve">(5) </t>
    </r>
    <r>
      <rPr>
        <sz val="8"/>
        <rFont val="Verdana"/>
        <family val="2"/>
      </rPr>
      <t>x 0.96) + 0.32%</t>
    </r>
  </si>
  <si>
    <t>a</t>
  </si>
  <si>
    <t>b</t>
  </si>
  <si>
    <t>c</t>
  </si>
  <si>
    <t>d</t>
  </si>
  <si>
    <t>e</t>
  </si>
  <si>
    <t>f</t>
  </si>
  <si>
    <r>
      <t>AADT x 365 x L</t>
    </r>
    <r>
      <rPr>
        <vertAlign val="superscript"/>
        <sz val="8"/>
        <rFont val="Verdana"/>
        <family val="2"/>
      </rPr>
      <t>opt</t>
    </r>
    <r>
      <rPr>
        <sz val="8"/>
        <rFont val="Verdana"/>
        <family val="2"/>
      </rPr>
      <t xml:space="preserve"> x TTC</t>
    </r>
  </si>
  <si>
    <t>Worksheet 2 is used for calculating the PV cost of the do-minimum. The do-minimum is the minimum level of expenditure necessary to keep a facility open and generally consists of maintenance work.</t>
  </si>
  <si>
    <t>Worksheet 3 is used for calculating the PV cost of the walking or cycling facility.</t>
  </si>
  <si>
    <t>Worksheet 4 is used for calculating pedestrian and cyclist travel time cost savings.</t>
  </si>
  <si>
    <t>DF</t>
  </si>
  <si>
    <t>This worksheet is used to calculate cycle demand for a new cycle facility. The new commuters section of the worksheet calculates the total new daily cyclist commuters. The new other section calculates the total daily new other cyclists. Finally the overall new cyclists is devised.</t>
  </si>
  <si>
    <t>PV Travel time cost savings</t>
  </si>
  <si>
    <t>PV Health and environment</t>
  </si>
  <si>
    <t>Number of years of typical crash rate records</t>
  </si>
  <si>
    <t>Number of reported crashes over period</t>
  </si>
  <si>
    <r>
      <t xml:space="preserve">Number of reported crashes adjusted by severity </t>
    </r>
    <r>
      <rPr>
        <b/>
        <sz val="8"/>
        <rFont val="Verdana"/>
        <family val="2"/>
      </rPr>
      <t>(4)</t>
    </r>
    <r>
      <rPr>
        <sz val="8"/>
        <rFont val="Verdana"/>
        <family val="2"/>
      </rPr>
      <t xml:space="preserve"> x </t>
    </r>
    <r>
      <rPr>
        <b/>
        <sz val="8"/>
        <rFont val="Verdana"/>
        <family val="2"/>
      </rPr>
      <t>(5)</t>
    </r>
  </si>
  <si>
    <r>
      <t xml:space="preserve">Crashes per year = </t>
    </r>
    <r>
      <rPr>
        <b/>
        <sz val="8"/>
        <rFont val="Verdana"/>
        <family val="2"/>
      </rPr>
      <t>(6)</t>
    </r>
    <r>
      <rPr>
        <sz val="8"/>
        <rFont val="Verdana"/>
        <family val="2"/>
      </rPr>
      <t>/</t>
    </r>
    <r>
      <rPr>
        <b/>
        <sz val="8"/>
        <rFont val="Verdana"/>
        <family val="2"/>
      </rPr>
      <t>(3)</t>
    </r>
  </si>
  <si>
    <t>Adjustment factor for crash trend (table A6.1(a))</t>
  </si>
  <si>
    <r>
      <t>Adjusted crashes per year =</t>
    </r>
    <r>
      <rPr>
        <b/>
        <sz val="8"/>
        <rFont val="Verdana"/>
        <family val="2"/>
      </rPr>
      <t xml:space="preserve"> (7)</t>
    </r>
    <r>
      <rPr>
        <sz val="8"/>
        <rFont val="Verdana"/>
        <family val="2"/>
      </rPr>
      <t xml:space="preserve"> x </t>
    </r>
    <r>
      <rPr>
        <b/>
        <sz val="8"/>
        <rFont val="Verdana"/>
        <family val="2"/>
      </rPr>
      <t>(8)</t>
    </r>
  </si>
  <si>
    <r>
      <t>Total estimated  crashes per year =</t>
    </r>
    <r>
      <rPr>
        <b/>
        <sz val="8"/>
        <rFont val="Verdana"/>
        <family val="2"/>
      </rPr>
      <t xml:space="preserve"> (9)</t>
    </r>
    <r>
      <rPr>
        <sz val="8"/>
        <rFont val="Verdana"/>
        <family val="2"/>
      </rPr>
      <t xml:space="preserve"> x</t>
    </r>
    <r>
      <rPr>
        <b/>
        <sz val="8"/>
        <rFont val="Verdana"/>
        <family val="2"/>
      </rPr>
      <t xml:space="preserve"> (10)</t>
    </r>
  </si>
  <si>
    <t>Crash cost, 100km/h limit (tables A6.21(e) to (h))</t>
  </si>
  <si>
    <t>Crash cost, 50km/h limit (tables A6.21(a) to (d))</t>
  </si>
  <si>
    <r>
      <t xml:space="preserve">Cost per crash = </t>
    </r>
    <r>
      <rPr>
        <b/>
        <sz val="8"/>
        <rFont val="Verdana"/>
        <family val="2"/>
      </rPr>
      <t>(13)</t>
    </r>
    <r>
      <rPr>
        <sz val="8"/>
        <rFont val="Verdana"/>
        <family val="2"/>
      </rPr>
      <t xml:space="preserve"> + </t>
    </r>
    <r>
      <rPr>
        <b/>
        <sz val="8"/>
        <rFont val="Verdana"/>
        <family val="2"/>
      </rPr>
      <t>(14)</t>
    </r>
    <r>
      <rPr>
        <sz val="8"/>
        <rFont val="Verdana"/>
        <family val="2"/>
      </rPr>
      <t xml:space="preserve"> x [</t>
    </r>
    <r>
      <rPr>
        <b/>
        <sz val="8"/>
        <rFont val="Verdana"/>
        <family val="2"/>
      </rPr>
      <t>(12)</t>
    </r>
    <r>
      <rPr>
        <sz val="8"/>
        <rFont val="Verdana"/>
        <family val="2"/>
      </rPr>
      <t xml:space="preserve"> - </t>
    </r>
    <r>
      <rPr>
        <b/>
        <sz val="8"/>
        <rFont val="Verdana"/>
        <family val="2"/>
      </rPr>
      <t>(13)</t>
    </r>
    <r>
      <rPr>
        <sz val="8"/>
        <rFont val="Verdana"/>
        <family val="2"/>
      </rPr>
      <t>]</t>
    </r>
  </si>
  <si>
    <r>
      <t xml:space="preserve">Crash cost per year = </t>
    </r>
    <r>
      <rPr>
        <b/>
        <sz val="8"/>
        <rFont val="Verdana"/>
        <family val="2"/>
      </rPr>
      <t>(11)</t>
    </r>
    <r>
      <rPr>
        <sz val="8"/>
        <rFont val="Verdana"/>
        <family val="2"/>
      </rPr>
      <t xml:space="preserve"> x </t>
    </r>
    <r>
      <rPr>
        <b/>
        <sz val="8"/>
        <rFont val="Verdana"/>
        <family val="2"/>
      </rPr>
      <t>(15)</t>
    </r>
  </si>
  <si>
    <r>
      <t xml:space="preserve">Total cost of crashes per year (sum of columns in row </t>
    </r>
    <r>
      <rPr>
        <b/>
        <sz val="8"/>
        <rFont val="Verdana"/>
        <family val="2"/>
      </rPr>
      <t>(16)</t>
    </r>
    <r>
      <rPr>
        <sz val="8"/>
        <rFont val="Verdana"/>
        <family val="2"/>
      </rPr>
      <t xml:space="preserve"> fatal + serious + minor + non-injury)</t>
    </r>
  </si>
  <si>
    <t>Percentage crash reduction</t>
  </si>
  <si>
    <r>
      <t xml:space="preserve">Percentage of crashes 'remaining' [100 - </t>
    </r>
    <r>
      <rPr>
        <b/>
        <sz val="8"/>
        <rFont val="Verdana"/>
        <family val="2"/>
      </rPr>
      <t>(18)</t>
    </r>
    <r>
      <rPr>
        <sz val="8"/>
        <rFont val="Verdana"/>
        <family val="2"/>
      </rPr>
      <t>]</t>
    </r>
  </si>
  <si>
    <r>
      <t xml:space="preserve">Predicted crashes per year </t>
    </r>
    <r>
      <rPr>
        <b/>
        <sz val="8"/>
        <rFont val="Verdana"/>
        <family val="2"/>
      </rPr>
      <t>(11)</t>
    </r>
    <r>
      <rPr>
        <sz val="8"/>
        <rFont val="Verdana"/>
        <family val="2"/>
      </rPr>
      <t xml:space="preserve"> x </t>
    </r>
    <r>
      <rPr>
        <b/>
        <sz val="8"/>
        <rFont val="Verdana"/>
        <family val="2"/>
      </rPr>
      <t>(19)</t>
    </r>
  </si>
  <si>
    <r>
      <t xml:space="preserve">Cost per crash = </t>
    </r>
    <r>
      <rPr>
        <b/>
        <sz val="8"/>
        <rFont val="Verdana"/>
        <family val="2"/>
      </rPr>
      <t xml:space="preserve">(22) </t>
    </r>
    <r>
      <rPr>
        <sz val="8"/>
        <rFont val="Verdana"/>
        <family val="2"/>
      </rPr>
      <t>+</t>
    </r>
    <r>
      <rPr>
        <b/>
        <sz val="8"/>
        <rFont val="Verdana"/>
        <family val="2"/>
      </rPr>
      <t xml:space="preserve"> (23) </t>
    </r>
    <r>
      <rPr>
        <sz val="8"/>
        <rFont val="Verdana"/>
        <family val="2"/>
      </rPr>
      <t>x</t>
    </r>
    <r>
      <rPr>
        <b/>
        <sz val="8"/>
        <rFont val="Verdana"/>
        <family val="2"/>
      </rPr>
      <t xml:space="preserve"> </t>
    </r>
    <r>
      <rPr>
        <sz val="8"/>
        <rFont val="Verdana"/>
        <family val="2"/>
      </rPr>
      <t>[</t>
    </r>
    <r>
      <rPr>
        <b/>
        <sz val="8"/>
        <rFont val="Verdana"/>
        <family val="2"/>
      </rPr>
      <t xml:space="preserve">(21) </t>
    </r>
    <r>
      <rPr>
        <sz val="8"/>
        <rFont val="Verdana"/>
        <family val="2"/>
      </rPr>
      <t>-</t>
    </r>
    <r>
      <rPr>
        <b/>
        <sz val="8"/>
        <rFont val="Verdana"/>
        <family val="2"/>
      </rPr>
      <t xml:space="preserve"> (22)</t>
    </r>
    <r>
      <rPr>
        <sz val="8"/>
        <rFont val="Verdana"/>
        <family val="2"/>
      </rPr>
      <t>]</t>
    </r>
  </si>
  <si>
    <r>
      <t xml:space="preserve">Crash cost per year = </t>
    </r>
    <r>
      <rPr>
        <b/>
        <sz val="8"/>
        <rFont val="Verdana"/>
        <family val="2"/>
      </rPr>
      <t xml:space="preserve">(20) </t>
    </r>
    <r>
      <rPr>
        <sz val="8"/>
        <rFont val="Verdana"/>
        <family val="2"/>
      </rPr>
      <t xml:space="preserve">x </t>
    </r>
    <r>
      <rPr>
        <b/>
        <sz val="8"/>
        <rFont val="Verdana"/>
        <family val="2"/>
      </rPr>
      <t>(24)</t>
    </r>
  </si>
  <si>
    <r>
      <t xml:space="preserve">Total cost of crashes per year (sum of columns in row </t>
    </r>
    <r>
      <rPr>
        <b/>
        <sz val="8"/>
        <rFont val="Verdana"/>
        <family val="2"/>
      </rPr>
      <t>(25)</t>
    </r>
    <r>
      <rPr>
        <sz val="8"/>
        <rFont val="Verdana"/>
        <family val="2"/>
      </rPr>
      <t xml:space="preserve"> fatal + serious + minor + non-injury</t>
    </r>
  </si>
  <si>
    <r>
      <t xml:space="preserve">Annual crash cost savings = </t>
    </r>
    <r>
      <rPr>
        <b/>
        <sz val="8"/>
        <rFont val="Verdana"/>
        <family val="2"/>
      </rPr>
      <t xml:space="preserve">(17) </t>
    </r>
    <r>
      <rPr>
        <sz val="8"/>
        <rFont val="Verdana"/>
        <family val="2"/>
      </rPr>
      <t>-</t>
    </r>
    <r>
      <rPr>
        <b/>
        <sz val="8"/>
        <rFont val="Verdana"/>
        <family val="2"/>
      </rPr>
      <t xml:space="preserve"> (26) </t>
    </r>
  </si>
  <si>
    <r>
      <t xml:space="preserve">PV crash cost savings = </t>
    </r>
    <r>
      <rPr>
        <b/>
        <sz val="8"/>
        <rFont val="Verdana"/>
        <family val="2"/>
      </rPr>
      <t xml:space="preserve">(27) </t>
    </r>
    <r>
      <rPr>
        <sz val="8"/>
        <rFont val="Verdana"/>
        <family val="2"/>
      </rPr>
      <t>x DF</t>
    </r>
  </si>
  <si>
    <t>Transfer PV of crash cost savings, E for the preferred option to E on worksheet 1</t>
  </si>
  <si>
    <t>SP11 Walking and cycling facilities</t>
  </si>
  <si>
    <t>Worksheet 6 - Crash cost savings</t>
  </si>
  <si>
    <t>Factors for converting from reported injury crashes to total injury crashes</t>
  </si>
  <si>
    <t>Factor for converting from reported non-injury crashes to total non-injury crashes</t>
  </si>
  <si>
    <r>
      <t xml:space="preserve">These simplified procedures are suitable only for </t>
    </r>
    <r>
      <rPr>
        <b/>
        <sz val="8"/>
        <rFont val="Verdana"/>
        <family val="2"/>
      </rPr>
      <t xml:space="preserve">crash–by–crash analysis </t>
    </r>
    <r>
      <rPr>
        <sz val="8"/>
        <rFont val="Verdana"/>
        <family val="2"/>
      </rPr>
      <t>(method A in appendix A6). There must be 5 years or more crash data for the site and the number and types of crashes must meet the specifications set out in appendix A6.1 and A6.2. If not, either the crash rate analysis or weighted crash procedure described in appendix A6.2 should be used. The annual crash cost savings determined from such an evaluation are multiplied by the appropriate discount factor and entered in worksheet 1 as total E. Evidence to support alternative analysis must be attached.</t>
    </r>
  </si>
  <si>
    <t>Accident adjustment factor</t>
  </si>
  <si>
    <t>speed</t>
  </si>
  <si>
    <t>growth</t>
  </si>
  <si>
    <t>Cell J19</t>
  </si>
  <si>
    <r>
      <t>Worksheet 1 provides a summary of the general data used for the evaluation as well as the results of the analysis. The information required is a subset of the information required for assessment in terms of the NZTA’s</t>
    </r>
    <r>
      <rPr>
        <i/>
        <sz val="8"/>
        <rFont val="Verdana"/>
        <family val="2"/>
      </rPr>
      <t xml:space="preserve"> Planning and Investment Knowledge Base</t>
    </r>
    <r>
      <rPr>
        <sz val="8"/>
        <rFont val="Verdana"/>
        <family val="2"/>
      </rPr>
      <t>.</t>
    </r>
  </si>
  <si>
    <t xml:space="preserve"> =      $</t>
  </si>
  <si>
    <t>x</t>
  </si>
  <si>
    <t xml:space="preserve">  =      $</t>
  </si>
  <si>
    <t>2040/41</t>
  </si>
  <si>
    <t>2041/42</t>
  </si>
  <si>
    <t>2042/43</t>
  </si>
  <si>
    <t>2043/44</t>
  </si>
  <si>
    <t>2044/45</t>
  </si>
  <si>
    <t>2045/46</t>
  </si>
  <si>
    <t>2046/47</t>
  </si>
  <si>
    <t>2047/48</t>
  </si>
  <si>
    <t>2048/49</t>
  </si>
  <si>
    <t>2049/50</t>
  </si>
  <si>
    <t>2050/51</t>
  </si>
  <si>
    <t>2052/53</t>
  </si>
  <si>
    <t>2053/54</t>
  </si>
  <si>
    <t>2054/55</t>
  </si>
  <si>
    <t>2055/56</t>
  </si>
  <si>
    <t>2056/57</t>
  </si>
  <si>
    <t>2057/58</t>
  </si>
  <si>
    <t>2058/59</t>
  </si>
  <si>
    <t>2059/60</t>
  </si>
  <si>
    <t>SP11-2 Do minimum</t>
  </si>
  <si>
    <t>Discount rate</t>
  </si>
  <si>
    <t>Disocunt rate</t>
  </si>
  <si>
    <t>SP11-3 Option</t>
  </si>
  <si>
    <t>(years 2 to 40 inclusive) $</t>
  </si>
  <si>
    <t xml:space="preserve"> =   $</t>
  </si>
  <si>
    <r>
      <t>(c)</t>
    </r>
    <r>
      <rPr>
        <sz val="8"/>
        <rFont val="Verdana"/>
        <family val="2"/>
      </rPr>
      <t xml:space="preserve"> x DF</t>
    </r>
    <r>
      <rPr>
        <sz val="8"/>
        <rFont val="Verdana"/>
        <family val="2"/>
      </rPr>
      <t xml:space="preserve"> = $</t>
    </r>
  </si>
  <si>
    <t>Pedestrian growth rate (per annum)</t>
  </si>
  <si>
    <t>Cyclist growth rate (per annum)</t>
  </si>
  <si>
    <t>Cyclist</t>
  </si>
  <si>
    <t>Health and environment benefits from improvements at hazardous sites
(provision of overbridges, underpasses, bridge widening or intersection improvements for cyclists)</t>
  </si>
  <si>
    <t>Health and environment benefits from improvements at hazardous sites
(provision of overbridges, underpasses, bridge widening or intersection improvements for pedestrians)</t>
  </si>
  <si>
    <t>Worksheet 1 - Evaluation Summary and TIO Upload</t>
  </si>
  <si>
    <t>This spreadsheet can be automatically uploaded into Transport Investment Online. To enable automatic upload please do not adjust the columns or rows.</t>
  </si>
  <si>
    <t>Please make any additional comments or clarifying notes as necessary to aid understanding (note that these fall outside of the set print and TIO upload range)</t>
  </si>
  <si>
    <t>Reference</t>
  </si>
  <si>
    <t>Evaluator(s)                                      - name, organisation</t>
  </si>
  <si>
    <t>Reviewer(s)                                       - name, organisation</t>
  </si>
  <si>
    <t>Date of evaluation</t>
  </si>
  <si>
    <t>mm/yyyy</t>
  </si>
  <si>
    <t>Time zero / implementation start date</t>
  </si>
  <si>
    <t>Construction duration</t>
  </si>
  <si>
    <t>Months</t>
  </si>
  <si>
    <t>Base date of costs and benefits</t>
  </si>
  <si>
    <t>Problem definition</t>
  </si>
  <si>
    <t>Do minimum description</t>
  </si>
  <si>
    <t>Alternatives considered (or page references to relevant)</t>
  </si>
  <si>
    <t>Options considered (or page references to relevant)</t>
  </si>
  <si>
    <t>Preferred option description</t>
  </si>
  <si>
    <t>Statistics</t>
  </si>
  <si>
    <t>Base rate</t>
  </si>
  <si>
    <t>New users/transfer</t>
  </si>
  <si>
    <t>Road traffic - Annual Average Daily Traffic (AADT)</t>
  </si>
  <si>
    <t>Pedestrians - Annual Average Daily</t>
  </si>
  <si>
    <t>Count</t>
  </si>
  <si>
    <t xml:space="preserve">Cyclists - Annual Average Daily </t>
  </si>
  <si>
    <t>Heavy Vehicles Volume</t>
  </si>
  <si>
    <t>Annual Patronage - Peak Period</t>
  </si>
  <si>
    <t>Annual Patronage - Total</t>
  </si>
  <si>
    <t>Freight volume</t>
  </si>
  <si>
    <t>tonnes</t>
  </si>
  <si>
    <t>Road Category</t>
  </si>
  <si>
    <t>Before</t>
  </si>
  <si>
    <t>After</t>
  </si>
  <si>
    <t>Roughness</t>
  </si>
  <si>
    <t>IRI/NAASRA</t>
  </si>
  <si>
    <t>Posted speed</t>
  </si>
  <si>
    <t>Average traffic speed</t>
  </si>
  <si>
    <t>Length of road / route</t>
  </si>
  <si>
    <t>Road width</t>
  </si>
  <si>
    <t>metres</t>
  </si>
  <si>
    <t>Travel time on route</t>
  </si>
  <si>
    <t>minutes</t>
  </si>
  <si>
    <t>Peak Period Traffic flow</t>
  </si>
  <si>
    <t>Vehicles/hr</t>
  </si>
  <si>
    <t>Period of crash analysis</t>
  </si>
  <si>
    <t>yyyy - yyyy</t>
  </si>
  <si>
    <t>Non Injury</t>
  </si>
  <si>
    <t>Total estimated crashes per year - do minimum (row 11)</t>
  </si>
  <si>
    <t>Predicted crashes per year - preferred option (row 20)</t>
  </si>
  <si>
    <t>Heavy Vehicle Trips Saved (average per year)</t>
  </si>
  <si>
    <t>count</t>
  </si>
  <si>
    <t>Travel time savings (per day)</t>
  </si>
  <si>
    <t>Costs</t>
  </si>
  <si>
    <t>Do minimum</t>
  </si>
  <si>
    <t>Preferred option</t>
  </si>
  <si>
    <t>Present Value Total costs (whole of life)</t>
  </si>
  <si>
    <t>Benefits (Present Value)</t>
  </si>
  <si>
    <t>Travel time cost savings</t>
  </si>
  <si>
    <t>Vehicle operating cost savings</t>
  </si>
  <si>
    <t>Seal extension benefits</t>
  </si>
  <si>
    <t>Driver frustration reduction benefits</t>
  </si>
  <si>
    <t>Risk reduction benefits</t>
  </si>
  <si>
    <t>Vehicle emission reduction benefits</t>
  </si>
  <si>
    <t>Other external benefits (noise, visual, impact etc)</t>
  </si>
  <si>
    <t>Mode change benefits</t>
  </si>
  <si>
    <t>Walking and cycling health benefits</t>
  </si>
  <si>
    <t>Service or facility user benefits</t>
  </si>
  <si>
    <t>Parking user cost savings</t>
  </si>
  <si>
    <t>Dis-benefits during implementation/construction</t>
  </si>
  <si>
    <t>Road Traffic reduction benefits</t>
  </si>
  <si>
    <t>National strategic benefits</t>
  </si>
  <si>
    <t>Agglomeration benefits (WEB)</t>
  </si>
  <si>
    <t>Increased Labour Supply (WEB)</t>
  </si>
  <si>
    <t>Imperfect Competition (WEB)</t>
  </si>
  <si>
    <t xml:space="preserve">Total Benefits Present Value </t>
  </si>
  <si>
    <t>Non monetised benefits or national strategic factors</t>
  </si>
  <si>
    <t>Benefit Cost Ratio (BCRn) National</t>
  </si>
  <si>
    <t>Benefit Cost Ratio (BCRg) Government</t>
  </si>
  <si>
    <t>First Year Rate of Return (FYRR)</t>
  </si>
  <si>
    <t>Sensitivity Analysis  - BCR range</t>
  </si>
  <si>
    <t>1 July yyyy</t>
  </si>
  <si>
    <t>Growth rate (%)</t>
  </si>
  <si>
    <t>Period start am</t>
  </si>
  <si>
    <t>Period stop am</t>
  </si>
  <si>
    <t>Period start pm</t>
  </si>
  <si>
    <t>Period stop pm</t>
  </si>
  <si>
    <t xml:space="preserve">Peak Period  </t>
  </si>
  <si>
    <t>Recorded crashes in period (row 4 crash analysis)</t>
  </si>
  <si>
    <t>Vehicle Operating Cost Savings (per annum)</t>
  </si>
  <si>
    <t>$/vehicle</t>
  </si>
  <si>
    <t>Construction / implementation</t>
  </si>
  <si>
    <t>Present Value Construction / implementation</t>
  </si>
  <si>
    <t>Present Value Maintenance, renewal and operating costs</t>
  </si>
  <si>
    <t>Present Value Funding assistance</t>
  </si>
  <si>
    <t>Road category (Select)</t>
  </si>
  <si>
    <t>PV Crash cost savings</t>
  </si>
  <si>
    <t>Upload V1.0 (1Oct13)</t>
  </si>
  <si>
    <t>Present Value Cost savings</t>
  </si>
  <si>
    <t>PV Capital costs (do-min)</t>
  </si>
  <si>
    <t>LABEL_SYS</t>
  </si>
  <si>
    <t>KEY</t>
  </si>
  <si>
    <t>VALUE</t>
  </si>
  <si>
    <t>ECONOMIC_EVAL_COMPLETED_DATE</t>
  </si>
  <si>
    <t>TIMEZERO_ECONOMIC_EVAL_DATE</t>
  </si>
  <si>
    <t>BASE_DATE_COSTS_BENEFITS</t>
  </si>
  <si>
    <t>ROAD_TRAFFIC_AADT</t>
  </si>
  <si>
    <t>base_rate</t>
  </si>
  <si>
    <t>growth_rate</t>
  </si>
  <si>
    <t>PEDESTRIANS_AAD</t>
  </si>
  <si>
    <t>new</t>
  </si>
  <si>
    <t>CYCLISTS_AAD</t>
  </si>
  <si>
    <t>ANNUAL_PATRONAGE_TOTAL</t>
  </si>
  <si>
    <t>ANNUAL_PATRONAGE_PEAK</t>
  </si>
  <si>
    <t>FREIGHT_VOLUME</t>
  </si>
  <si>
    <t>HEAVY_VEHICLES_VOLUME_AADT</t>
  </si>
  <si>
    <t>HEAVY_VEHICLES_VOLUME_RATE</t>
  </si>
  <si>
    <t>ROAD_CATEGORY</t>
  </si>
  <si>
    <t>ROUGHNESS</t>
  </si>
  <si>
    <t>before</t>
  </si>
  <si>
    <t>after</t>
  </si>
  <si>
    <t>POSTED_SPEED</t>
  </si>
  <si>
    <t>AVERAGE_TRAFFIC_SPPEED</t>
  </si>
  <si>
    <t>ROAD_LENGTH</t>
  </si>
  <si>
    <t>ROAD_WIDTH</t>
  </si>
  <si>
    <t>TRAVEL_TIME</t>
  </si>
  <si>
    <t>PEAK_PERIOD_AM</t>
  </si>
  <si>
    <t>start</t>
  </si>
  <si>
    <t>stop</t>
  </si>
  <si>
    <t>PEAK_PERIOD_PM</t>
  </si>
  <si>
    <t>PEAK_PERIOD_FLOW</t>
  </si>
  <si>
    <t>RECORDED_CRASHES</t>
  </si>
  <si>
    <t>fatal</t>
  </si>
  <si>
    <t>serious</t>
  </si>
  <si>
    <t>minor</t>
  </si>
  <si>
    <t>non_injury</t>
  </si>
  <si>
    <t>ESTIMATED_CRASHES</t>
  </si>
  <si>
    <t>PREDICTED_CRASHES</t>
  </si>
  <si>
    <t>HEAVY_VEHICLE_TRIPS_SAVED</t>
  </si>
  <si>
    <t>VEHICLE_OPERATING_COST</t>
  </si>
  <si>
    <t>TRAVEL_TIME_SAVINGS</t>
  </si>
  <si>
    <t>CONSTRUCTION_COST</t>
  </si>
  <si>
    <t>do_min</t>
  </si>
  <si>
    <t>option</t>
  </si>
  <si>
    <t>PV_CONSTRUCTION</t>
  </si>
  <si>
    <t>PV_MAINTENANCE</t>
  </si>
  <si>
    <t>PV_TOTAL_COST</t>
  </si>
  <si>
    <t>PV_COST_SAVINGS</t>
  </si>
  <si>
    <t>PV_FUNDING_ASSIST</t>
  </si>
  <si>
    <t>TRAVEL_TIME_COST_SAVINGS</t>
  </si>
  <si>
    <t>VEHICLE_OP_COST_SAVINGS</t>
  </si>
  <si>
    <t>CRASH_COST_SAVINGS</t>
  </si>
  <si>
    <t>SEAL_EXTENSION_BEFEFITS</t>
  </si>
  <si>
    <t>DRIVER_FRUST_REDUCT_BENEFITS</t>
  </si>
  <si>
    <t>RISK_REDUCT_BENEFITS</t>
  </si>
  <si>
    <t>VEHICLE_EMIS_REDUCT_BEFEFITS</t>
  </si>
  <si>
    <t>EXTERNAL_BENEFITS</t>
  </si>
  <si>
    <t>MODE_CHANGE_BENEFITS</t>
  </si>
  <si>
    <t>WALKING_CYCLING_BENEFITS</t>
  </si>
  <si>
    <t>SERVICE_FACILITY_BENEFITS</t>
  </si>
  <si>
    <t>PARKING_COST_SAVINGS</t>
  </si>
  <si>
    <t>DISBENEFITS</t>
  </si>
  <si>
    <t>TRAFFIC_REDUCTION_BENEFITS</t>
  </si>
  <si>
    <t>NATIONAL_STRATEGIC_BENEFITS</t>
  </si>
  <si>
    <t>AGGLOMERATION_BENEFITS</t>
  </si>
  <si>
    <t>INCREASED_LABOUR_SUPPLY</t>
  </si>
  <si>
    <t>IMPERFECT_COMPETITION</t>
  </si>
  <si>
    <t>TOTAL_BENEFITS</t>
  </si>
  <si>
    <t>BCR_NATIONAL</t>
  </si>
  <si>
    <t>BCR_GOVERNMENT</t>
  </si>
  <si>
    <t>FIRST_YEAR_RATE_OF_RETURN</t>
  </si>
  <si>
    <t>BCR_RANGE</t>
  </si>
  <si>
    <t>low</t>
  </si>
  <si>
    <t>high</t>
  </si>
  <si>
    <t>Safety benefit for cycle lanes, cycleways or increased road shoulder widths in the absence of a specific crash analysis</t>
  </si>
  <si>
    <t>Safety benefit from improvements at hazardous sites in the absence of a specific crash analysis (provision of overbridges, underpasses, bridge widening or intersection improvements for cyclists)</t>
  </si>
  <si>
    <t>Crash cost savings</t>
  </si>
  <si>
    <t>PV crash cost savings</t>
  </si>
  <si>
    <t>Benefits</t>
  </si>
  <si>
    <t>BCR calculations</t>
  </si>
  <si>
    <t>Option D</t>
  </si>
  <si>
    <t>PV total benefits</t>
  </si>
  <si>
    <t>PV total costs</t>
  </si>
  <si>
    <r>
      <t>BCR</t>
    </r>
    <r>
      <rPr>
        <b/>
        <vertAlign val="subscript"/>
        <sz val="8"/>
        <color indexed="8"/>
        <rFont val="Verdana"/>
        <family val="2"/>
      </rPr>
      <t>N</t>
    </r>
  </si>
  <si>
    <r>
      <t>Incremental BCR</t>
    </r>
    <r>
      <rPr>
        <vertAlign val="subscript"/>
        <sz val="8"/>
        <color indexed="8"/>
        <rFont val="Verdana"/>
        <family val="2"/>
      </rPr>
      <t>N</t>
    </r>
    <r>
      <rPr>
        <b/>
        <sz val="8"/>
        <color indexed="8"/>
        <rFont val="Verdana"/>
        <family val="2"/>
      </rPr>
      <t xml:space="preserve">
(7)=(6)</t>
    </r>
    <r>
      <rPr>
        <sz val="8"/>
        <color indexed="8"/>
        <rFont val="Verdana"/>
        <family val="2"/>
      </rPr>
      <t>/</t>
    </r>
    <r>
      <rPr>
        <b/>
        <sz val="8"/>
        <color indexed="8"/>
        <rFont val="Verdana"/>
        <family val="2"/>
      </rPr>
      <t xml:space="preserve"> (5)</t>
    </r>
  </si>
  <si>
    <t>(Table SP11.1)</t>
  </si>
  <si>
    <t>SP11-1</t>
  </si>
  <si>
    <r>
      <t>PV cost (</t>
    </r>
    <r>
      <rPr>
        <b/>
        <sz val="8"/>
        <rFont val="Verdana"/>
        <family val="2"/>
      </rPr>
      <t>A</t>
    </r>
    <r>
      <rPr>
        <sz val="8"/>
        <rFont val="Verdana"/>
        <family val="2"/>
      </rPr>
      <t xml:space="preserve"> / </t>
    </r>
    <r>
      <rPr>
        <b/>
        <sz val="8"/>
        <rFont val="Verdana"/>
        <family val="2"/>
      </rPr>
      <t>B</t>
    </r>
    <r>
      <rPr>
        <sz val="8"/>
        <rFont val="Verdana"/>
        <family val="2"/>
      </rPr>
      <t>)</t>
    </r>
  </si>
  <si>
    <t>SP11-3 (1)</t>
  </si>
  <si>
    <t>SP11-3 (2)</t>
  </si>
  <si>
    <t>SP11-3 (3)</t>
  </si>
  <si>
    <t>Assessed</t>
  </si>
  <si>
    <t>Actual</t>
  </si>
  <si>
    <t>Future annual maintenance costs</t>
  </si>
  <si>
    <t>(from WS SP11-7)</t>
  </si>
  <si>
    <t>Walking or Cycling growth rate (per annum)</t>
  </si>
  <si>
    <t>Mean speed</t>
  </si>
  <si>
    <t>Worksheet 5 is used to calculate the walking and cycling facility benefits for the various options. Only one category for walking and one category for cycling may be used in an evaluation of a proposal. If an activity contains more categories, they must be submitted as separate evaluations.
Activities that combine walking and cycling may claim benefits for both modes but safety issues arising from pedestrian/cycle conflicts must be addressed, and if there are additional crash costs these must be accounted for in worksheet 6. Make sure the estimates of the new number of pedestrians and/or cyclists generated by the facility are realistic.
Required information:
L        Length of new facility in kilometres
NPD   Number of additional pedestrians per day
NTD   Number of additional cycle trips per day
NSD   Number of additional and existing cycle trips per day
DF     Discount factor. The discount factor may differ by mode depending on the growth rate</t>
  </si>
  <si>
    <t>Spreadsheet v 3 (27-March-14)</t>
  </si>
  <si>
    <t>(Table 4.1b)</t>
  </si>
  <si>
    <t>Porirua City Council</t>
  </si>
  <si>
    <t>Te Ara Tawa Shared Pathway</t>
  </si>
  <si>
    <t>Formalise an off-road path between Kenepuru Stn and Porirua CBD</t>
  </si>
  <si>
    <t>Kenepuru, Porirua</t>
  </si>
  <si>
    <t>Do Nothing - peds / cycles continue use Kenepuru Drive</t>
  </si>
  <si>
    <t>Congested Kenepuru Dr, road safety, poor walking / cycling uptake</t>
  </si>
  <si>
    <t>Alternative path construction</t>
  </si>
  <si>
    <t>n/a</t>
  </si>
  <si>
    <t>Preferred Option</t>
  </si>
  <si>
    <t>Estimated Cost</t>
  </si>
  <si>
    <t>Surfacing</t>
  </si>
  <si>
    <t>Concrete @ 2.6 m wide and 1400m length</t>
  </si>
  <si>
    <t>Fencing</t>
  </si>
  <si>
    <t>Fencing Materials 1.16m @140/m and 5 gates</t>
  </si>
  <si>
    <t>Jet-vac 22 fence posts (@ $100 per hole)</t>
  </si>
  <si>
    <t>Signing</t>
  </si>
  <si>
    <t>Signs</t>
  </si>
  <si>
    <t>Landscaping</t>
  </si>
  <si>
    <t>Reinstate Topsoil and Grass adjacent to path at completion</t>
  </si>
  <si>
    <t>TOTAL CAPITAL COST</t>
  </si>
  <si>
    <t>Management Costs (MSQA)</t>
  </si>
  <si>
    <t>Project Management and Site Supervision</t>
  </si>
  <si>
    <t>KiwiRail Compliance Costs</t>
  </si>
  <si>
    <t>Stage 4 Road Safety Audit</t>
  </si>
  <si>
    <t>TOTAL COST</t>
  </si>
  <si>
    <t>NOTE: GW are pay for the modification to Station Road bridge and the bollards at the entrance therefore these haven't been included in estimate above.</t>
  </si>
  <si>
    <t>Other options considered</t>
  </si>
  <si>
    <t>Concrete @ 2.6 m wide and 1400mm length   Asset life 50 years</t>
  </si>
  <si>
    <r>
      <t>Chipseal no edging and reduced basecourse from residential standard   Asset life 25 years however with heavy machinery from GW and KiwiRail surface likely not to sustain thi</t>
    </r>
    <r>
      <rPr>
        <sz val="11"/>
        <rFont val="Calibri"/>
        <family val="2"/>
      </rPr>
      <t>s (NOT FIT FOR PURPOSE)</t>
    </r>
  </si>
  <si>
    <t>Move stockpiles assumes digger for 5 hours at $140 / hr</t>
  </si>
  <si>
    <t>Jet vac 22 fence posts</t>
  </si>
  <si>
    <t>Est $100 per hole</t>
  </si>
  <si>
    <t>Project Management and design</t>
  </si>
  <si>
    <t>KiwiRail and Consent Costs</t>
  </si>
  <si>
    <t>Topsoiling and Grass at completion</t>
  </si>
  <si>
    <t>Subtotal Fencing , Proj Management and Other</t>
  </si>
  <si>
    <t>Total Estimated Construction Cost with Concrete</t>
  </si>
  <si>
    <t>Total Estimated Construction Cost with Asphalt</t>
  </si>
  <si>
    <t>Total Estimates Construction Cost with Chipseal</t>
  </si>
  <si>
    <t>Council Option Estimates</t>
  </si>
  <si>
    <t>Resealing</t>
  </si>
  <si>
    <t>Move kiwi rail ballast stockpiles 
(Assume excavator for 5 hours at $140 / hr)</t>
  </si>
  <si>
    <t>Asphalt @ 3m with timber edging  residential vehicle crossing standard</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</si>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</sst>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7" formatCode="&quot;$&quot;#,##0.00;\-&quot;$&quot;#,##0.00"/>
    <numFmt numFmtId="44" formatCode="_-&quot;$&quot;* #,##0.00_-;\-&quot;$&quot;* #,##0.00_-;_-&quot;$&quot;* &quot;-&quot;??_-;_-@_-"/>
    <numFmt numFmtId="43" formatCode="_-* #,##0.00_-;\-* #,##0.00_-;_-* &quot;-&quot;??_-;_-@_-"/>
    <numFmt numFmtId="164" formatCode="0.0"/>
    <numFmt numFmtId="165" formatCode="_-* #,##0_-;\-* #,##0_-;_-* &quot;-&quot;??_-;_-@_-"/>
    <numFmt numFmtId="166" formatCode="0.000"/>
    <numFmt numFmtId="167" formatCode="&quot;$&quot;#,##0"/>
    <numFmt numFmtId="168" formatCode="mm\-yyyy"/>
    <numFmt numFmtId="169" formatCode="#,##0_ ;\-#,##0\ "/>
    <numFmt numFmtId="170" formatCode="_(&quot;$&quot;* #,##0_);_(&quot;$&quot;* \(#,##0\);_(&quot;$&quot;* &quot;-&quot;??_);_(@_)"/>
  </numFmts>
  <fonts count="67">
    <font>
      <sz val="10"/>
      <name val="Arial"/>
    </font>
    <font>
      <sz val="10"/>
      <name val="Arial"/>
      <family val="2"/>
    </font>
    <font>
      <sz val="9"/>
      <name val="Verdana"/>
      <family val="2"/>
    </font>
    <font>
      <b/>
      <sz val="9"/>
      <name val="Verdana"/>
      <family val="2"/>
    </font>
    <font>
      <b/>
      <sz val="8"/>
      <name val="Verdana"/>
      <family val="2"/>
    </font>
    <font>
      <sz val="8"/>
      <name val="Verdana"/>
      <family val="2"/>
    </font>
    <font>
      <sz val="16"/>
      <name val="Verdana"/>
      <family val="2"/>
    </font>
    <font>
      <sz val="10"/>
      <name val="Verdana"/>
      <family val="2"/>
    </font>
    <font>
      <sz val="8"/>
      <name val="Arial"/>
      <family val="2"/>
    </font>
    <font>
      <b/>
      <sz val="10"/>
      <name val="Verdana"/>
      <family val="2"/>
    </font>
    <font>
      <sz val="12"/>
      <name val="Palatino"/>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8"/>
      <name val="Lucida Sans"/>
      <family val="2"/>
    </font>
    <font>
      <sz val="14"/>
      <name val="Lucida Sans"/>
      <family val="2"/>
    </font>
    <font>
      <sz val="9"/>
      <name val="Lucida Sans"/>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Lucida Sans"/>
      <family val="2"/>
    </font>
    <font>
      <sz val="9"/>
      <name val="Symbol"/>
      <family val="1"/>
      <charset val="2"/>
    </font>
    <font>
      <vertAlign val="superscript"/>
      <sz val="8"/>
      <name val="Verdana"/>
      <family val="2"/>
    </font>
    <font>
      <vertAlign val="subscript"/>
      <sz val="8"/>
      <name val="Verdana"/>
      <family val="2"/>
    </font>
    <font>
      <sz val="8"/>
      <color indexed="81"/>
      <name val="Verdana"/>
      <family val="2"/>
    </font>
    <font>
      <b/>
      <sz val="8"/>
      <color indexed="81"/>
      <name val="Verdana"/>
      <family val="2"/>
    </font>
    <font>
      <b/>
      <sz val="12"/>
      <name val="Verdana"/>
      <family val="2"/>
    </font>
    <font>
      <b/>
      <sz val="8"/>
      <color indexed="9"/>
      <name val="Verdana"/>
      <family val="2"/>
    </font>
    <font>
      <sz val="8"/>
      <color indexed="9"/>
      <name val="Verdana"/>
      <family val="2"/>
    </font>
    <font>
      <b/>
      <sz val="8"/>
      <color indexed="63"/>
      <name val="Verdana"/>
      <family val="2"/>
    </font>
    <font>
      <sz val="8"/>
      <color indexed="8"/>
      <name val="Verdana"/>
      <family val="2"/>
    </font>
    <font>
      <b/>
      <sz val="8"/>
      <color indexed="8"/>
      <name val="Verdana"/>
      <family val="2"/>
    </font>
    <font>
      <vertAlign val="subscript"/>
      <sz val="8"/>
      <color indexed="8"/>
      <name val="Verdana"/>
      <family val="2"/>
    </font>
    <font>
      <sz val="6"/>
      <name val="Verdana"/>
      <family val="2"/>
    </font>
    <font>
      <sz val="8"/>
      <name val="Whitney Book"/>
      <family val="3"/>
    </font>
    <font>
      <sz val="8"/>
      <color indexed="81"/>
      <name val="Tahoma"/>
      <family val="2"/>
    </font>
    <font>
      <i/>
      <sz val="8"/>
      <name val="Verdana"/>
      <family val="2"/>
    </font>
    <font>
      <sz val="8"/>
      <name val="Lucida Sans"/>
      <family val="2"/>
    </font>
    <font>
      <sz val="10"/>
      <name val="Arial"/>
      <family val="2"/>
    </font>
    <font>
      <sz val="6"/>
      <name val="Arial"/>
      <family val="2"/>
    </font>
    <font>
      <b/>
      <sz val="9"/>
      <name val="Lucida Sans"/>
      <family val="2"/>
    </font>
    <font>
      <b/>
      <vertAlign val="subscript"/>
      <sz val="8"/>
      <color indexed="8"/>
      <name val="Verdana"/>
      <family val="2"/>
    </font>
    <font>
      <sz val="9"/>
      <color indexed="81"/>
      <name val="Tahoma"/>
      <family val="2"/>
    </font>
    <font>
      <b/>
      <sz val="9"/>
      <color indexed="81"/>
      <name val="Tahoma"/>
      <family val="2"/>
    </font>
    <font>
      <sz val="11"/>
      <name val="Calibri"/>
      <family val="2"/>
    </font>
    <font>
      <b/>
      <sz val="11"/>
      <color theme="1"/>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sz val="10"/>
      <color theme="1"/>
      <name val="Calibri"/>
      <family val="2"/>
      <scheme val="minor"/>
    </font>
    <font>
      <i/>
      <sz val="10"/>
      <color theme="1"/>
      <name val="Calibri"/>
      <family val="2"/>
      <scheme val="minor"/>
    </font>
    <font>
      <sz val="9"/>
      <color theme="1"/>
      <name val="Calibri"/>
      <family val="2"/>
      <scheme val="minor"/>
    </font>
    <font>
      <b/>
      <sz val="10"/>
      <color theme="1"/>
      <name val="Calibri"/>
      <family val="2"/>
      <scheme val="minor"/>
    </font>
    <font>
      <sz val="8"/>
      <color rgb="FFFF0000"/>
      <name val="Verdana"/>
      <family val="2"/>
    </font>
    <font>
      <i/>
      <u/>
      <sz val="11"/>
      <color theme="1"/>
      <name val="Calibri"/>
      <family val="2"/>
      <scheme val="minor"/>
    </font>
    <font>
      <b/>
      <sz val="14"/>
      <color theme="1"/>
      <name val="Calibri"/>
      <family val="2"/>
      <scheme val="minor"/>
    </font>
    <font>
      <b/>
      <sz val="14"/>
      <color rgb="FFFF0000"/>
      <name val="Calibri"/>
      <family val="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gray125">
        <bgColor indexed="22"/>
      </patternFill>
    </fill>
    <fill>
      <patternFill patternType="solid">
        <fgColor indexed="53"/>
        <bgColor indexed="64"/>
      </patternFill>
    </fill>
    <fill>
      <patternFill patternType="solid">
        <fgColor indexed="14"/>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rgb="FFFF00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double">
        <color indexed="64"/>
      </right>
      <top style="medium">
        <color indexed="64"/>
      </top>
      <bottom style="medium">
        <color indexed="64"/>
      </bottom>
      <diagonal/>
    </border>
    <border>
      <left/>
      <right/>
      <top/>
      <bottom style="thin">
        <color indexed="9"/>
      </bottom>
      <diagonal/>
    </border>
    <border>
      <left/>
      <right/>
      <top style="thin">
        <color indexed="9"/>
      </top>
      <bottom/>
      <diagonal/>
    </border>
    <border>
      <left/>
      <right/>
      <top/>
      <bottom style="thick">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style="thin">
        <color indexed="45"/>
      </right>
      <top/>
      <bottom style="thin">
        <color indexed="45"/>
      </bottom>
      <diagonal/>
    </border>
    <border>
      <left/>
      <right style="thin">
        <color indexed="45"/>
      </right>
      <top style="thin">
        <color indexed="45"/>
      </top>
      <bottom style="thin">
        <color indexed="45"/>
      </bottom>
      <diagonal/>
    </border>
    <border>
      <left/>
      <right style="thin">
        <color indexed="45"/>
      </right>
      <top style="thin">
        <color indexed="45"/>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9"/>
      </left>
      <right style="thin">
        <color indexed="45"/>
      </right>
      <top style="thin">
        <color indexed="9"/>
      </top>
      <bottom style="thin">
        <color indexed="45"/>
      </bottom>
      <diagonal/>
    </border>
    <border>
      <left style="thin">
        <color indexed="45"/>
      </left>
      <right style="thin">
        <color indexed="45"/>
      </right>
      <top style="thin">
        <color indexed="9"/>
      </top>
      <bottom style="thin">
        <color indexed="45"/>
      </bottom>
      <diagonal/>
    </border>
    <border>
      <left style="thin">
        <color indexed="45"/>
      </left>
      <right style="thin">
        <color indexed="9"/>
      </right>
      <top style="thin">
        <color indexed="9"/>
      </top>
      <bottom style="thin">
        <color indexed="45"/>
      </bottom>
      <diagonal/>
    </border>
    <border>
      <left style="thin">
        <color indexed="9"/>
      </left>
      <right style="thin">
        <color indexed="45"/>
      </right>
      <top style="thin">
        <color indexed="45"/>
      </top>
      <bottom/>
      <diagonal/>
    </border>
    <border>
      <left style="thin">
        <color indexed="45"/>
      </left>
      <right style="thin">
        <color indexed="45"/>
      </right>
      <top style="thin">
        <color indexed="45"/>
      </top>
      <bottom/>
      <diagonal/>
    </border>
    <border>
      <left style="thin">
        <color indexed="45"/>
      </left>
      <right style="thin">
        <color indexed="9"/>
      </right>
      <top style="thin">
        <color indexed="45"/>
      </top>
      <bottom/>
      <diagonal/>
    </border>
    <border>
      <left style="thin">
        <color indexed="45"/>
      </left>
      <right style="thin">
        <color indexed="45"/>
      </right>
      <top/>
      <bottom style="thin">
        <color indexed="45"/>
      </bottom>
      <diagonal/>
    </border>
    <border>
      <left style="thin">
        <color indexed="45"/>
      </left>
      <right/>
      <top/>
      <bottom style="thin">
        <color indexed="45"/>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45"/>
      </top>
      <bottom style="thick">
        <color indexed="45"/>
      </bottom>
      <diagonal/>
    </border>
    <border>
      <left/>
      <right/>
      <top/>
      <bottom style="thick">
        <color indexed="45"/>
      </bottom>
      <diagonal/>
    </border>
    <border>
      <left/>
      <right/>
      <top style="thick">
        <color indexed="45"/>
      </top>
      <bottom/>
      <diagonal/>
    </border>
    <border>
      <left/>
      <right/>
      <top style="thin">
        <color indexed="64"/>
      </top>
      <bottom/>
      <diagonal/>
    </border>
    <border>
      <left/>
      <right/>
      <top style="thick">
        <color indexed="9"/>
      </top>
      <bottom/>
      <diagonal/>
    </border>
    <border>
      <left style="thin">
        <color indexed="45"/>
      </left>
      <right style="thin">
        <color indexed="45"/>
      </right>
      <top style="thin">
        <color indexed="45"/>
      </top>
      <bottom style="thin">
        <color indexed="45"/>
      </bottom>
      <diagonal/>
    </border>
    <border>
      <left style="thin">
        <color indexed="45"/>
      </left>
      <right/>
      <top style="thin">
        <color indexed="45"/>
      </top>
      <bottom style="thin">
        <color indexed="45"/>
      </bottom>
      <diagonal/>
    </border>
    <border>
      <left style="thin">
        <color indexed="45"/>
      </left>
      <right/>
      <top style="thin">
        <color indexed="45"/>
      </top>
      <bottom/>
      <diagonal/>
    </border>
    <border>
      <left/>
      <right/>
      <top style="thin">
        <color indexed="45"/>
      </top>
      <bottom style="thin">
        <color indexed="45"/>
      </bottom>
      <diagonal/>
    </border>
    <border>
      <left style="thin">
        <color indexed="9"/>
      </left>
      <right/>
      <top style="thin">
        <color indexed="9"/>
      </top>
      <bottom style="thin">
        <color indexed="9"/>
      </bottom>
      <diagonal/>
    </border>
    <border>
      <left/>
      <right/>
      <top style="thin">
        <color indexed="45"/>
      </top>
      <bottom/>
      <diagonal/>
    </border>
    <border>
      <left/>
      <right style="thin">
        <color indexed="9"/>
      </right>
      <top style="thin">
        <color indexed="9"/>
      </top>
      <bottom style="thin">
        <color indexed="9"/>
      </bottom>
      <diagonal/>
    </border>
    <border>
      <left/>
      <right/>
      <top/>
      <bottom style="thin">
        <color indexed="45"/>
      </bottom>
      <diagonal/>
    </border>
    <border>
      <left/>
      <right style="thin">
        <color indexed="9"/>
      </right>
      <top/>
      <bottom style="thin">
        <color indexed="9"/>
      </bottom>
      <diagonal/>
    </border>
    <border>
      <left style="thin">
        <color indexed="9"/>
      </left>
      <right/>
      <top style="thin">
        <color indexed="9"/>
      </top>
      <bottom/>
      <diagonal/>
    </border>
    <border>
      <left style="thin">
        <color indexed="9"/>
      </left>
      <right style="thin">
        <color indexed="9"/>
      </right>
      <top style="thin">
        <color indexed="9"/>
      </top>
      <bottom style="thin">
        <color indexed="45"/>
      </bottom>
      <diagonal/>
    </border>
    <border>
      <left/>
      <right style="thin">
        <color indexed="9"/>
      </right>
      <top style="thin">
        <color indexed="45"/>
      </top>
      <bottom style="thin">
        <color indexed="45"/>
      </bottom>
      <diagonal/>
    </border>
    <border>
      <left style="thin">
        <color indexed="9"/>
      </left>
      <right/>
      <top style="thin">
        <color indexed="9"/>
      </top>
      <bottom style="thin">
        <color indexed="45"/>
      </bottom>
      <diagonal/>
    </border>
    <border>
      <left style="thin">
        <color indexed="9"/>
      </left>
      <right/>
      <top style="thin">
        <color indexed="45"/>
      </top>
      <bottom style="thin">
        <color indexed="45"/>
      </bottom>
      <diagonal/>
    </border>
    <border>
      <left/>
      <right style="thin">
        <color indexed="9"/>
      </right>
      <top style="thin">
        <color indexed="9"/>
      </top>
      <bottom/>
      <diagonal/>
    </border>
    <border>
      <left/>
      <right/>
      <top style="thin">
        <color indexed="9"/>
      </top>
      <bottom style="thin">
        <color indexed="9"/>
      </bottom>
      <diagonal/>
    </border>
    <border>
      <left style="thin">
        <color indexed="9"/>
      </left>
      <right style="thin">
        <color indexed="45"/>
      </right>
      <top style="thin">
        <color indexed="45"/>
      </top>
      <bottom style="thin">
        <color indexed="9"/>
      </bottom>
      <diagonal/>
    </border>
    <border>
      <left style="thin">
        <color indexed="45"/>
      </left>
      <right style="thin">
        <color indexed="45"/>
      </right>
      <top style="thin">
        <color indexed="45"/>
      </top>
      <bottom style="thin">
        <color indexed="9"/>
      </bottom>
      <diagonal/>
    </border>
    <border>
      <left style="thin">
        <color indexed="45"/>
      </left>
      <right style="thin">
        <color indexed="9"/>
      </right>
      <top style="thin">
        <color indexed="45"/>
      </top>
      <bottom style="thin">
        <color indexed="9"/>
      </bottom>
      <diagonal/>
    </border>
    <border>
      <left/>
      <right/>
      <top style="medium">
        <color indexed="64"/>
      </top>
      <bottom style="medium">
        <color indexed="64"/>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top style="thick">
        <color theme="0" tint="-4.9989318521683403E-2"/>
      </top>
      <bottom style="thick">
        <color theme="0" tint="-4.9989318521683403E-2"/>
      </bottom>
      <diagonal/>
    </border>
    <border>
      <left/>
      <right style="thick">
        <color theme="0" tint="-4.9989318521683403E-2"/>
      </right>
      <top style="thick">
        <color theme="0" tint="-4.9989318521683403E-2"/>
      </top>
      <bottom style="thick">
        <color theme="0" tint="-4.9989318521683403E-2"/>
      </bottom>
      <diagonal/>
    </border>
  </borders>
  <cellStyleXfs count="4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 fillId="0" borderId="0" applyFont="0" applyFill="0" applyBorder="0" applyAlignment="0" applyProtection="0"/>
    <xf numFmtId="43" fontId="48"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47" fillId="0" borderId="0">
      <alignment vertical="top"/>
    </xf>
    <xf numFmtId="0" fontId="25" fillId="23"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8"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490">
    <xf numFmtId="0" fontId="0" fillId="0" borderId="0" xfId="0"/>
    <xf numFmtId="0" fontId="7" fillId="24" borderId="0" xfId="0" applyFont="1" applyFill="1" applyAlignment="1" applyProtection="1"/>
    <xf numFmtId="0" fontId="7" fillId="24" borderId="0" xfId="0" applyFont="1" applyFill="1" applyAlignment="1" applyProtection="1">
      <alignment horizontal="center"/>
    </xf>
    <xf numFmtId="0" fontId="5" fillId="24" borderId="0" xfId="0" applyFont="1" applyFill="1" applyBorder="1" applyAlignment="1" applyProtection="1">
      <alignment horizontal="left" vertical="center"/>
    </xf>
    <xf numFmtId="0" fontId="5" fillId="24" borderId="0" xfId="0" applyFont="1" applyFill="1" applyBorder="1" applyAlignment="1" applyProtection="1">
      <alignment vertical="center"/>
    </xf>
    <xf numFmtId="0" fontId="7" fillId="24" borderId="0" xfId="0" applyFont="1" applyFill="1" applyProtection="1"/>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xf numFmtId="0" fontId="3" fillId="25" borderId="12" xfId="0" applyFont="1" applyFill="1" applyBorder="1" applyAlignment="1">
      <alignment wrapText="1"/>
    </xf>
    <xf numFmtId="0" fontId="3" fillId="25" borderId="10" xfId="0" applyFont="1" applyFill="1" applyBorder="1" applyAlignment="1">
      <alignment wrapText="1"/>
    </xf>
    <xf numFmtId="0" fontId="2" fillId="0" borderId="11" xfId="0" applyFont="1" applyBorder="1" applyAlignment="1">
      <alignment horizontal="center" vertical="top" wrapText="1"/>
    </xf>
    <xf numFmtId="0" fontId="3" fillId="25" borderId="13" xfId="0" applyFont="1" applyFill="1" applyBorder="1" applyAlignment="1">
      <alignment horizontal="center" vertical="top" wrapText="1"/>
    </xf>
    <xf numFmtId="0" fontId="6" fillId="0" borderId="0" xfId="0" applyFont="1" applyAlignment="1">
      <alignment horizontal="left" indent="6"/>
    </xf>
    <xf numFmtId="0" fontId="3" fillId="0" borderId="0" xfId="0" applyFont="1" applyAlignment="1">
      <alignment horizontal="left" indent="9"/>
    </xf>
    <xf numFmtId="0" fontId="3" fillId="25" borderId="14" xfId="0" applyFont="1" applyFill="1" applyBorder="1" applyAlignment="1">
      <alignment horizontal="center" wrapText="1"/>
    </xf>
    <xf numFmtId="0" fontId="3" fillId="25" borderId="11" xfId="0" applyFont="1" applyFill="1" applyBorder="1" applyAlignment="1">
      <alignment horizontal="center" wrapText="1"/>
    </xf>
    <xf numFmtId="0" fontId="2" fillId="0" borderId="10" xfId="0" applyFont="1" applyBorder="1" applyAlignment="1">
      <alignment vertical="top" wrapText="1"/>
    </xf>
    <xf numFmtId="0" fontId="10" fillId="0" borderId="11" xfId="0" applyFont="1" applyBorder="1" applyAlignment="1">
      <alignment horizontal="center" vertical="top" wrapText="1"/>
    </xf>
    <xf numFmtId="0" fontId="3" fillId="25" borderId="10" xfId="0" applyFont="1" applyFill="1" applyBorder="1" applyAlignment="1">
      <alignment horizontal="center" wrapText="1"/>
    </xf>
    <xf numFmtId="0" fontId="2" fillId="25" borderId="15" xfId="0" applyFont="1" applyFill="1" applyBorder="1" applyAlignment="1">
      <alignment horizontal="center"/>
    </xf>
    <xf numFmtId="0" fontId="2" fillId="25" borderId="13" xfId="0" applyFont="1" applyFill="1" applyBorder="1" applyAlignment="1">
      <alignment horizontal="center"/>
    </xf>
    <xf numFmtId="0" fontId="3" fillId="25" borderId="13" xfId="0" applyFont="1" applyFill="1" applyBorder="1" applyAlignment="1">
      <alignment horizontal="center"/>
    </xf>
    <xf numFmtId="0" fontId="2" fillId="0" borderId="11" xfId="0" applyFont="1" applyBorder="1" applyAlignment="1">
      <alignment horizontal="center"/>
    </xf>
    <xf numFmtId="0" fontId="2" fillId="0" borderId="10" xfId="0" applyFont="1" applyBorder="1" applyAlignment="1">
      <alignment wrapText="1"/>
    </xf>
    <xf numFmtId="0" fontId="3" fillId="25" borderId="15" xfId="0" applyFont="1" applyFill="1" applyBorder="1" applyAlignment="1">
      <alignment horizontal="center" vertical="top" wrapText="1"/>
    </xf>
    <xf numFmtId="0" fontId="2" fillId="0" borderId="11" xfId="0" applyFont="1" applyBorder="1" applyAlignment="1">
      <alignment horizontal="center" wrapText="1"/>
    </xf>
    <xf numFmtId="0" fontId="3" fillId="25" borderId="16" xfId="0" applyFont="1" applyFill="1" applyBorder="1" applyAlignment="1">
      <alignment horizontal="center" wrapText="1"/>
    </xf>
    <xf numFmtId="3" fontId="2" fillId="0" borderId="11" xfId="0" applyNumberFormat="1" applyFont="1" applyBorder="1" applyAlignment="1">
      <alignment horizontal="right" wrapText="1"/>
    </xf>
    <xf numFmtId="0" fontId="2" fillId="0" borderId="11" xfId="0" applyFont="1" applyBorder="1" applyAlignment="1">
      <alignment horizontal="righ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4" fillId="26" borderId="15" xfId="0" applyFont="1" applyFill="1" applyBorder="1" applyAlignment="1">
      <alignment horizontal="center" wrapText="1"/>
    </xf>
    <xf numFmtId="0" fontId="4" fillId="26" borderId="17" xfId="0" applyFont="1" applyFill="1" applyBorder="1" applyAlignment="1">
      <alignment horizontal="center" wrapText="1"/>
    </xf>
    <xf numFmtId="0" fontId="0" fillId="27" borderId="0" xfId="0" applyFill="1"/>
    <xf numFmtId="0" fontId="4" fillId="24" borderId="0" xfId="0" applyFont="1" applyFill="1" applyBorder="1" applyAlignment="1" applyProtection="1">
      <alignment horizontal="center" vertical="center"/>
    </xf>
    <xf numFmtId="0" fontId="5" fillId="24" borderId="0" xfId="0" applyFont="1" applyFill="1" applyBorder="1" applyAlignment="1" applyProtection="1">
      <alignment horizontal="center" vertical="center"/>
    </xf>
    <xf numFmtId="0" fontId="9" fillId="24" borderId="0" xfId="0" applyFont="1" applyFill="1" applyAlignment="1" applyProtection="1">
      <alignment vertical="center"/>
    </xf>
    <xf numFmtId="0" fontId="7" fillId="24" borderId="0" xfId="0" applyFont="1" applyFill="1" applyAlignment="1" applyProtection="1">
      <alignment vertical="center"/>
    </xf>
    <xf numFmtId="2" fontId="5" fillId="0" borderId="0" xfId="0" applyNumberFormat="1" applyFont="1"/>
    <xf numFmtId="0" fontId="2" fillId="24" borderId="0" xfId="0" applyFont="1" applyFill="1" applyBorder="1" applyAlignment="1" applyProtection="1">
      <alignment vertical="center"/>
    </xf>
    <xf numFmtId="0" fontId="5" fillId="24" borderId="0" xfId="0" applyFont="1" applyFill="1" applyAlignment="1" applyProtection="1">
      <alignment vertical="center"/>
    </xf>
    <xf numFmtId="0" fontId="30" fillId="0" borderId="0" xfId="0" applyFont="1" applyAlignment="1">
      <alignment vertical="top"/>
    </xf>
    <xf numFmtId="0" fontId="31" fillId="0" borderId="0" xfId="0" applyFont="1" applyAlignment="1">
      <alignment horizontal="left" vertical="top" indent="6"/>
    </xf>
    <xf numFmtId="1" fontId="0" fillId="0" borderId="0" xfId="0" applyNumberFormat="1"/>
    <xf numFmtId="2" fontId="0" fillId="28" borderId="0" xfId="0" applyNumberFormat="1" applyFill="1"/>
    <xf numFmtId="0" fontId="2" fillId="24" borderId="0" xfId="0" applyFont="1" applyFill="1" applyBorder="1" applyAlignment="1" applyProtection="1">
      <alignment horizontal="center" vertical="center"/>
    </xf>
    <xf numFmtId="0" fontId="2" fillId="24" borderId="0" xfId="0" applyFont="1" applyFill="1" applyAlignment="1" applyProtection="1">
      <alignment vertical="center"/>
    </xf>
    <xf numFmtId="0" fontId="2" fillId="24" borderId="0" xfId="0" applyFont="1" applyFill="1" applyAlignment="1" applyProtection="1">
      <alignment horizontal="center" vertical="center"/>
    </xf>
    <xf numFmtId="0" fontId="2" fillId="24" borderId="18" xfId="0" applyFont="1" applyFill="1" applyBorder="1" applyAlignment="1" applyProtection="1">
      <alignment vertical="center"/>
    </xf>
    <xf numFmtId="0" fontId="2" fillId="24" borderId="19" xfId="0" applyFont="1" applyFill="1" applyBorder="1" applyAlignment="1" applyProtection="1">
      <alignment vertical="center"/>
    </xf>
    <xf numFmtId="0" fontId="2" fillId="24" borderId="20" xfId="0" applyFont="1" applyFill="1" applyBorder="1" applyAlignment="1" applyProtection="1">
      <alignment vertical="center"/>
    </xf>
    <xf numFmtId="49" fontId="5" fillId="24" borderId="0" xfId="0" applyNumberFormat="1" applyFont="1" applyFill="1" applyBorder="1" applyAlignment="1" applyProtection="1">
      <alignment horizontal="left" vertical="center"/>
    </xf>
    <xf numFmtId="0" fontId="4" fillId="24" borderId="0" xfId="0" applyFont="1" applyFill="1" applyAlignment="1" applyProtection="1">
      <alignment horizontal="left" vertical="center"/>
    </xf>
    <xf numFmtId="0" fontId="5" fillId="24" borderId="0" xfId="0" applyFont="1" applyFill="1" applyAlignment="1" applyProtection="1">
      <alignment horizontal="center" vertical="center"/>
    </xf>
    <xf numFmtId="0" fontId="4" fillId="24" borderId="0" xfId="0" applyFont="1" applyFill="1" applyBorder="1" applyAlignment="1" applyProtection="1">
      <alignment horizontal="left" vertical="center"/>
    </xf>
    <xf numFmtId="0" fontId="5" fillId="29" borderId="0" xfId="0" applyFont="1" applyFill="1" applyBorder="1" applyAlignment="1" applyProtection="1">
      <alignment horizontal="center" vertical="center"/>
    </xf>
    <xf numFmtId="0" fontId="5" fillId="29" borderId="0" xfId="0" applyFont="1" applyFill="1" applyBorder="1" applyAlignment="1" applyProtection="1">
      <alignment vertical="center"/>
    </xf>
    <xf numFmtId="0" fontId="4" fillId="29" borderId="0" xfId="0" applyFont="1" applyFill="1" applyBorder="1" applyAlignment="1" applyProtection="1">
      <alignment horizontal="center" vertical="center"/>
    </xf>
    <xf numFmtId="0" fontId="5" fillId="29" borderId="0" xfId="0" applyFont="1" applyFill="1" applyAlignment="1" applyProtection="1">
      <alignment horizontal="center" vertical="center"/>
    </xf>
    <xf numFmtId="0" fontId="5" fillId="29" borderId="0" xfId="0" applyFont="1" applyFill="1" applyAlignment="1" applyProtection="1">
      <alignment vertical="center"/>
    </xf>
    <xf numFmtId="0" fontId="5" fillId="29" borderId="20" xfId="0" applyFont="1" applyFill="1" applyBorder="1" applyAlignment="1" applyProtection="1">
      <alignment horizontal="center" vertical="center"/>
    </xf>
    <xf numFmtId="0" fontId="5" fillId="29" borderId="20" xfId="0" applyFont="1" applyFill="1" applyBorder="1" applyAlignment="1" applyProtection="1">
      <alignment vertical="center"/>
    </xf>
    <xf numFmtId="0" fontId="5" fillId="24" borderId="20" xfId="0" applyFont="1" applyFill="1" applyBorder="1" applyAlignment="1" applyProtection="1">
      <alignment vertical="center"/>
    </xf>
    <xf numFmtId="0" fontId="4" fillId="29" borderId="0" xfId="0" applyFont="1" applyFill="1" applyAlignment="1" applyProtection="1">
      <alignment horizontal="center" vertical="center"/>
    </xf>
    <xf numFmtId="0" fontId="5" fillId="29" borderId="0" xfId="0" applyFont="1" applyFill="1" applyBorder="1" applyAlignment="1" applyProtection="1">
      <alignment horizontal="left" vertical="center"/>
    </xf>
    <xf numFmtId="0" fontId="4" fillId="29" borderId="0" xfId="0" applyFont="1" applyFill="1" applyBorder="1" applyAlignment="1" applyProtection="1">
      <alignment vertical="center"/>
    </xf>
    <xf numFmtId="0" fontId="4" fillId="29" borderId="0" xfId="0" applyFont="1" applyFill="1" applyAlignment="1" applyProtection="1">
      <alignment vertical="center"/>
    </xf>
    <xf numFmtId="0" fontId="5" fillId="29" borderId="18" xfId="0" applyFont="1" applyFill="1" applyBorder="1" applyAlignment="1" applyProtection="1">
      <alignment horizontal="center" vertical="center"/>
    </xf>
    <xf numFmtId="0" fontId="5" fillId="29" borderId="18" xfId="0" applyFont="1" applyFill="1" applyBorder="1" applyAlignment="1" applyProtection="1">
      <alignment vertical="center"/>
    </xf>
    <xf numFmtId="0" fontId="4" fillId="29" borderId="0" xfId="0" applyFont="1" applyFill="1" applyAlignment="1" applyProtection="1">
      <alignment horizontal="left" vertical="center"/>
    </xf>
    <xf numFmtId="49" fontId="5" fillId="29" borderId="0" xfId="0" applyNumberFormat="1" applyFont="1" applyFill="1" applyBorder="1" applyAlignment="1" applyProtection="1">
      <alignment horizontal="right" vertical="center"/>
    </xf>
    <xf numFmtId="0" fontId="5" fillId="29" borderId="0" xfId="0" applyFont="1" applyFill="1" applyBorder="1" applyAlignment="1" applyProtection="1">
      <alignment horizontal="right" vertical="center"/>
    </xf>
    <xf numFmtId="0" fontId="5" fillId="29" borderId="20" xfId="0" applyFont="1" applyFill="1" applyBorder="1" applyAlignment="1" applyProtection="1">
      <alignment horizontal="right" vertical="center"/>
    </xf>
    <xf numFmtId="0" fontId="4" fillId="29" borderId="0" xfId="0" applyFont="1" applyFill="1" applyBorder="1" applyAlignment="1" applyProtection="1">
      <alignment horizontal="right" vertical="center"/>
    </xf>
    <xf numFmtId="0" fontId="4" fillId="29" borderId="20" xfId="0" applyFont="1" applyFill="1" applyBorder="1" applyAlignment="1" applyProtection="1">
      <alignment horizontal="center" vertical="center"/>
    </xf>
    <xf numFmtId="0" fontId="5" fillId="29" borderId="0" xfId="0" applyFont="1" applyFill="1" applyAlignment="1" applyProtection="1">
      <alignment horizontal="left" vertical="center"/>
    </xf>
    <xf numFmtId="0" fontId="5" fillId="29" borderId="0" xfId="0" applyFont="1" applyFill="1" applyAlignment="1" applyProtection="1">
      <alignment horizontal="right" vertical="center"/>
    </xf>
    <xf numFmtId="2" fontId="5" fillId="29" borderId="0" xfId="0" applyNumberFormat="1" applyFont="1" applyFill="1" applyBorder="1" applyAlignment="1" applyProtection="1">
      <alignment vertical="center"/>
    </xf>
    <xf numFmtId="0" fontId="5" fillId="24" borderId="0" xfId="0" applyFont="1" applyFill="1" applyAlignment="1" applyProtection="1">
      <alignment horizontal="center"/>
    </xf>
    <xf numFmtId="0" fontId="5" fillId="24" borderId="0" xfId="0" applyFont="1" applyFill="1" applyAlignment="1" applyProtection="1"/>
    <xf numFmtId="2" fontId="5" fillId="24" borderId="0" xfId="0" applyNumberFormat="1" applyFont="1" applyFill="1" applyAlignment="1" applyProtection="1"/>
    <xf numFmtId="0" fontId="36" fillId="24" borderId="0" xfId="0" applyFont="1" applyFill="1" applyAlignment="1" applyProtection="1">
      <alignment horizontal="left" vertical="center"/>
    </xf>
    <xf numFmtId="0" fontId="5" fillId="29" borderId="18" xfId="0" applyFont="1" applyFill="1" applyBorder="1" applyAlignment="1" applyProtection="1">
      <alignment horizontal="right" vertical="center"/>
    </xf>
    <xf numFmtId="0" fontId="5" fillId="24" borderId="18" xfId="0" applyFont="1" applyFill="1" applyBorder="1" applyAlignment="1" applyProtection="1">
      <alignment vertical="center"/>
    </xf>
    <xf numFmtId="0" fontId="37" fillId="30" borderId="21" xfId="0" applyFont="1" applyFill="1" applyBorder="1" applyAlignment="1" applyProtection="1">
      <alignment horizontal="center" vertical="center"/>
    </xf>
    <xf numFmtId="0" fontId="37" fillId="30" borderId="22" xfId="0" applyFont="1" applyFill="1" applyBorder="1" applyAlignment="1" applyProtection="1">
      <alignment horizontal="center" vertical="center"/>
    </xf>
    <xf numFmtId="0" fontId="37" fillId="30" borderId="23" xfId="0" applyFont="1" applyFill="1" applyBorder="1" applyAlignment="1" applyProtection="1">
      <alignment horizontal="center" vertical="center"/>
    </xf>
    <xf numFmtId="0" fontId="5" fillId="24" borderId="0" xfId="0" applyFont="1" applyFill="1" applyBorder="1" applyAlignment="1" applyProtection="1">
      <alignment horizontal="right" vertical="center"/>
    </xf>
    <xf numFmtId="0" fontId="5" fillId="24" borderId="0" xfId="0" applyNumberFormat="1" applyFont="1" applyFill="1" applyBorder="1" applyAlignment="1" applyProtection="1">
      <alignment vertical="center"/>
    </xf>
    <xf numFmtId="0" fontId="5" fillId="24" borderId="0" xfId="0" applyFont="1" applyFill="1" applyProtection="1"/>
    <xf numFmtId="0" fontId="5" fillId="29" borderId="19" xfId="0" applyFont="1" applyFill="1" applyBorder="1" applyAlignment="1" applyProtection="1">
      <alignment vertical="center"/>
    </xf>
    <xf numFmtId="0" fontId="5" fillId="29" borderId="19" xfId="0" applyFont="1" applyFill="1" applyBorder="1" applyAlignment="1" applyProtection="1">
      <alignment horizontal="center" vertical="center"/>
    </xf>
    <xf numFmtId="0" fontId="5" fillId="29" borderId="19" xfId="0" applyFont="1" applyFill="1" applyBorder="1" applyAlignment="1" applyProtection="1">
      <alignment horizontal="right" vertical="center"/>
    </xf>
    <xf numFmtId="0" fontId="5" fillId="24" borderId="19" xfId="0" applyFont="1" applyFill="1" applyBorder="1" applyAlignment="1" applyProtection="1">
      <alignment vertical="center"/>
    </xf>
    <xf numFmtId="0" fontId="5" fillId="31" borderId="24" xfId="0" applyFont="1" applyFill="1" applyBorder="1" applyAlignment="1" applyProtection="1">
      <alignment horizontal="center" vertical="center" wrapText="1"/>
      <protection locked="0"/>
    </xf>
    <xf numFmtId="0" fontId="5" fillId="31" borderId="25" xfId="0" applyFont="1" applyFill="1" applyBorder="1" applyAlignment="1" applyProtection="1">
      <alignment horizontal="center" vertical="center" wrapText="1"/>
      <protection locked="0"/>
    </xf>
    <xf numFmtId="0" fontId="5" fillId="31" borderId="26" xfId="0" applyFont="1" applyFill="1" applyBorder="1" applyAlignment="1" applyProtection="1">
      <alignment horizontal="center" vertical="center" wrapText="1"/>
      <protection locked="0"/>
    </xf>
    <xf numFmtId="1" fontId="5" fillId="29" borderId="18" xfId="0" applyNumberFormat="1" applyFont="1" applyFill="1" applyBorder="1" applyAlignment="1" applyProtection="1">
      <alignment vertical="center"/>
    </xf>
    <xf numFmtId="49" fontId="5" fillId="29" borderId="0" xfId="0" applyNumberFormat="1" applyFont="1" applyFill="1" applyBorder="1" applyAlignment="1" applyProtection="1">
      <alignment vertical="center"/>
    </xf>
    <xf numFmtId="49" fontId="5" fillId="24" borderId="0" xfId="0" applyNumberFormat="1" applyFont="1" applyFill="1" applyBorder="1" applyAlignment="1" applyProtection="1">
      <alignment horizontal="right" vertical="center"/>
    </xf>
    <xf numFmtId="49" fontId="5" fillId="24" borderId="0" xfId="0" applyNumberFormat="1" applyFont="1" applyFill="1" applyBorder="1" applyAlignment="1" applyProtection="1">
      <alignment vertical="center"/>
    </xf>
    <xf numFmtId="49" fontId="5" fillId="29" borderId="0" xfId="0" applyNumberFormat="1" applyFont="1" applyFill="1" applyBorder="1" applyAlignment="1" applyProtection="1">
      <alignment horizontal="left" vertical="center"/>
    </xf>
    <xf numFmtId="0" fontId="5" fillId="24" borderId="0" xfId="0" applyNumberFormat="1" applyFont="1" applyFill="1" applyBorder="1" applyAlignment="1" applyProtection="1">
      <alignment horizontal="left" vertical="center"/>
    </xf>
    <xf numFmtId="2" fontId="5" fillId="29" borderId="0" xfId="0" applyNumberFormat="1" applyFont="1" applyFill="1" applyBorder="1" applyAlignment="1" applyProtection="1">
      <alignment horizontal="left" vertical="center"/>
    </xf>
    <xf numFmtId="2" fontId="5" fillId="24" borderId="0" xfId="0" applyNumberFormat="1" applyFont="1" applyFill="1" applyBorder="1" applyAlignment="1" applyProtection="1">
      <alignment vertical="center"/>
    </xf>
    <xf numFmtId="0" fontId="5" fillId="29" borderId="20" xfId="0" applyFont="1" applyFill="1" applyBorder="1" applyAlignment="1" applyProtection="1">
      <alignment horizontal="left" vertical="center"/>
    </xf>
    <xf numFmtId="0" fontId="4" fillId="29" borderId="0" xfId="0" applyFont="1" applyFill="1" applyBorder="1" applyAlignment="1" applyProtection="1">
      <alignment vertical="center" wrapText="1"/>
    </xf>
    <xf numFmtId="2" fontId="5" fillId="24" borderId="0" xfId="0" applyNumberFormat="1" applyFont="1" applyFill="1" applyProtection="1"/>
    <xf numFmtId="0" fontId="5" fillId="29" borderId="27" xfId="0" applyFont="1" applyFill="1" applyBorder="1" applyAlignment="1" applyProtection="1">
      <alignment vertical="center" wrapText="1"/>
    </xf>
    <xf numFmtId="0" fontId="4" fillId="24" borderId="0" xfId="0" applyFont="1" applyFill="1" applyAlignment="1" applyProtection="1">
      <alignment vertical="center"/>
    </xf>
    <xf numFmtId="0" fontId="5" fillId="29" borderId="28" xfId="0" applyFont="1" applyFill="1" applyBorder="1" applyAlignment="1" applyProtection="1">
      <alignment horizontal="center" vertical="center"/>
    </xf>
    <xf numFmtId="0" fontId="5" fillId="29" borderId="27" xfId="0" applyFont="1" applyFill="1" applyBorder="1" applyAlignment="1" applyProtection="1">
      <alignment horizontal="center" vertical="center"/>
    </xf>
    <xf numFmtId="0" fontId="4" fillId="0" borderId="0" xfId="0" applyFont="1" applyAlignment="1" applyProtection="1">
      <alignment vertical="center"/>
    </xf>
    <xf numFmtId="0" fontId="37" fillId="30" borderId="27" xfId="0" applyFont="1" applyFill="1" applyBorder="1" applyAlignment="1" applyProtection="1">
      <alignment horizontal="center" vertical="center" wrapText="1"/>
    </xf>
    <xf numFmtId="0" fontId="37" fillId="30" borderId="0" xfId="0" applyFont="1" applyFill="1" applyBorder="1" applyAlignment="1" applyProtection="1">
      <alignment vertical="center"/>
    </xf>
    <xf numFmtId="0" fontId="5" fillId="0" borderId="0" xfId="0" applyFont="1" applyAlignment="1" applyProtection="1">
      <alignment vertical="center"/>
    </xf>
    <xf numFmtId="0" fontId="5" fillId="0" borderId="10" xfId="0" applyFont="1" applyBorder="1" applyAlignment="1" applyProtection="1">
      <alignment vertical="center" wrapText="1"/>
    </xf>
    <xf numFmtId="0" fontId="5" fillId="24" borderId="0" xfId="0" applyFont="1" applyFill="1" applyBorder="1" applyAlignment="1" applyProtection="1">
      <alignment horizontal="center" vertical="center" wrapText="1"/>
    </xf>
    <xf numFmtId="0" fontId="5" fillId="24" borderId="0" xfId="0" applyFont="1" applyFill="1" applyBorder="1" applyAlignment="1" applyProtection="1">
      <alignment vertical="center" wrapText="1"/>
    </xf>
    <xf numFmtId="0" fontId="4" fillId="29" borderId="0" xfId="0" applyFont="1" applyFill="1" applyBorder="1" applyAlignment="1" applyProtection="1">
      <alignment horizontal="center" vertical="top"/>
    </xf>
    <xf numFmtId="2" fontId="5" fillId="29" borderId="0" xfId="0" applyNumberFormat="1" applyFont="1" applyFill="1" applyBorder="1" applyAlignment="1" applyProtection="1">
      <alignment horizontal="left" vertical="top"/>
    </xf>
    <xf numFmtId="10" fontId="5" fillId="29" borderId="0" xfId="0" applyNumberFormat="1" applyFont="1" applyFill="1" applyAlignment="1" applyProtection="1">
      <alignment vertical="center"/>
    </xf>
    <xf numFmtId="49" fontId="5" fillId="29" borderId="20" xfId="0" applyNumberFormat="1" applyFont="1" applyFill="1" applyBorder="1" applyAlignment="1" applyProtection="1">
      <alignment horizontal="left" vertical="center"/>
    </xf>
    <xf numFmtId="0" fontId="5" fillId="29" borderId="20" xfId="0" applyFont="1" applyFill="1" applyBorder="1" applyAlignment="1" applyProtection="1">
      <alignment horizontal="left" vertical="center" wrapText="1"/>
    </xf>
    <xf numFmtId="10" fontId="5" fillId="31" borderId="0" xfId="0" applyNumberFormat="1" applyFont="1" applyFill="1" applyBorder="1" applyAlignment="1" applyProtection="1">
      <alignment horizontal="center" vertical="center"/>
      <protection locked="0"/>
    </xf>
    <xf numFmtId="10" fontId="5" fillId="24" borderId="0" xfId="0" applyNumberFormat="1" applyFont="1" applyFill="1" applyProtection="1"/>
    <xf numFmtId="0" fontId="43" fillId="24" borderId="0" xfId="0" applyFont="1" applyFill="1" applyBorder="1" applyAlignment="1" applyProtection="1">
      <alignment horizontal="left" vertical="center"/>
    </xf>
    <xf numFmtId="0" fontId="7" fillId="0" borderId="0" xfId="0" applyFont="1"/>
    <xf numFmtId="10" fontId="3" fillId="25" borderId="11" xfId="0" applyNumberFormat="1" applyFont="1" applyFill="1" applyBorder="1" applyAlignment="1">
      <alignment horizontal="center" vertical="top" wrapText="1"/>
    </xf>
    <xf numFmtId="9" fontId="3" fillId="25" borderId="11" xfId="0" applyNumberFormat="1" applyFont="1" applyFill="1" applyBorder="1" applyAlignment="1">
      <alignment horizontal="center" vertical="top" wrapText="1"/>
    </xf>
    <xf numFmtId="2" fontId="2" fillId="0" borderId="11" xfId="0" applyNumberFormat="1" applyFont="1" applyBorder="1" applyAlignment="1">
      <alignment horizontal="center" vertical="top" wrapText="1"/>
    </xf>
    <xf numFmtId="10" fontId="0" fillId="0" borderId="0" xfId="0" applyNumberFormat="1"/>
    <xf numFmtId="0" fontId="36" fillId="32" borderId="0" xfId="0" applyFont="1" applyFill="1" applyAlignment="1" applyProtection="1">
      <alignment horizontal="left" vertical="center"/>
    </xf>
    <xf numFmtId="0" fontId="5" fillId="32" borderId="0" xfId="0" applyFont="1" applyFill="1" applyAlignment="1" applyProtection="1">
      <alignment vertical="center"/>
    </xf>
    <xf numFmtId="0" fontId="7" fillId="32" borderId="0" xfId="0" applyFont="1" applyFill="1" applyAlignment="1" applyProtection="1">
      <alignment vertical="center"/>
    </xf>
    <xf numFmtId="0" fontId="25" fillId="0" borderId="0" xfId="0" applyFont="1"/>
    <xf numFmtId="0" fontId="3" fillId="25" borderId="0" xfId="0" applyFont="1" applyFill="1" applyBorder="1" applyAlignment="1">
      <alignment wrapText="1"/>
    </xf>
    <xf numFmtId="0" fontId="0" fillId="33" borderId="0" xfId="0" applyFill="1"/>
    <xf numFmtId="0" fontId="5" fillId="0" borderId="0" xfId="0" applyFont="1"/>
    <xf numFmtId="2" fontId="5" fillId="29" borderId="0" xfId="0" applyNumberFormat="1" applyFont="1" applyFill="1" applyAlignment="1" applyProtection="1">
      <alignment vertical="center"/>
    </xf>
    <xf numFmtId="0" fontId="55" fillId="34" borderId="0" xfId="0" applyFont="1" applyFill="1"/>
    <xf numFmtId="0" fontId="0" fillId="34" borderId="0" xfId="0" applyFill="1"/>
    <xf numFmtId="0" fontId="30" fillId="0" borderId="0" xfId="40" applyFont="1" applyAlignment="1">
      <alignment vertical="top"/>
    </xf>
    <xf numFmtId="0" fontId="56" fillId="34" borderId="0" xfId="0" applyFont="1" applyFill="1"/>
    <xf numFmtId="0" fontId="57" fillId="34" borderId="0" xfId="0" applyFont="1" applyFill="1"/>
    <xf numFmtId="0" fontId="58" fillId="34" borderId="0" xfId="0" applyFont="1" applyFill="1"/>
    <xf numFmtId="0" fontId="57" fillId="0" borderId="0" xfId="0" applyFont="1"/>
    <xf numFmtId="0" fontId="59" fillId="34" borderId="0" xfId="0" applyFont="1" applyFill="1" applyBorder="1" applyAlignment="1">
      <alignment horizontal="left" vertical="center"/>
    </xf>
    <xf numFmtId="0" fontId="59" fillId="34" borderId="0" xfId="0" applyFont="1" applyFill="1" applyAlignment="1">
      <alignment horizontal="left" vertical="center"/>
    </xf>
    <xf numFmtId="0" fontId="60" fillId="34" borderId="0" xfId="0" applyFont="1" applyFill="1" applyBorder="1" applyAlignment="1">
      <alignment vertical="center"/>
    </xf>
    <xf numFmtId="0" fontId="61" fillId="32" borderId="29" xfId="0" applyFont="1" applyFill="1" applyBorder="1"/>
    <xf numFmtId="0" fontId="56" fillId="34" borderId="0" xfId="0" applyFont="1" applyFill="1" applyBorder="1" applyAlignment="1">
      <alignment vertical="center"/>
    </xf>
    <xf numFmtId="0" fontId="61" fillId="34" borderId="0" xfId="0" applyFont="1" applyFill="1"/>
    <xf numFmtId="0" fontId="59" fillId="34" borderId="0" xfId="0" applyFont="1" applyFill="1" applyAlignment="1">
      <alignment horizontal="right" vertical="center"/>
    </xf>
    <xf numFmtId="168" fontId="59" fillId="32" borderId="30" xfId="0" applyNumberFormat="1" applyFont="1" applyFill="1" applyBorder="1" applyAlignment="1">
      <alignment horizontal="right" vertical="center"/>
    </xf>
    <xf numFmtId="0" fontId="0" fillId="34" borderId="0" xfId="0" applyFill="1" applyBorder="1"/>
    <xf numFmtId="1" fontId="59" fillId="32" borderId="29" xfId="0" applyNumberFormat="1" applyFont="1" applyFill="1" applyBorder="1" applyAlignment="1">
      <alignment horizontal="right" vertical="center"/>
    </xf>
    <xf numFmtId="0" fontId="60" fillId="34" borderId="31" xfId="0" applyFont="1" applyFill="1" applyBorder="1" applyAlignment="1">
      <alignment vertical="center"/>
    </xf>
    <xf numFmtId="0" fontId="62" fillId="34" borderId="0" xfId="0" applyFont="1" applyFill="1" applyBorder="1" applyAlignment="1">
      <alignment horizontal="left" vertical="center"/>
    </xf>
    <xf numFmtId="0" fontId="62" fillId="34" borderId="0" xfId="0" applyFont="1" applyFill="1" applyAlignment="1">
      <alignment horizontal="left" vertical="center"/>
    </xf>
    <xf numFmtId="0" fontId="60" fillId="34" borderId="0" xfId="0" applyFont="1" applyFill="1" applyBorder="1" applyAlignment="1">
      <alignment horizontal="left" vertical="center"/>
    </xf>
    <xf numFmtId="0" fontId="59" fillId="32" borderId="29" xfId="0" applyFont="1" applyFill="1" applyBorder="1" applyAlignment="1">
      <alignment horizontal="left" vertical="center"/>
    </xf>
    <xf numFmtId="2" fontId="59" fillId="32" borderId="29" xfId="0" applyNumberFormat="1" applyFont="1" applyFill="1" applyBorder="1" applyAlignment="1">
      <alignment horizontal="right" vertical="center"/>
    </xf>
    <xf numFmtId="0" fontId="59" fillId="32" borderId="29" xfId="0" applyFont="1" applyFill="1" applyBorder="1" applyAlignment="1">
      <alignment horizontal="right" vertical="center"/>
    </xf>
    <xf numFmtId="49" fontId="59" fillId="32" borderId="29" xfId="0" applyNumberFormat="1" applyFont="1" applyFill="1" applyBorder="1" applyAlignment="1">
      <alignment horizontal="right" vertical="center"/>
    </xf>
    <xf numFmtId="0" fontId="59" fillId="34" borderId="0" xfId="0" applyFont="1" applyFill="1" applyBorder="1" applyAlignment="1">
      <alignment horizontal="right" vertical="center"/>
    </xf>
    <xf numFmtId="164" fontId="59" fillId="32" borderId="29" xfId="0" applyNumberFormat="1" applyFont="1" applyFill="1" applyBorder="1" applyAlignment="1">
      <alignment horizontal="right" vertical="center"/>
    </xf>
    <xf numFmtId="3" fontId="59" fillId="32" borderId="29" xfId="0" applyNumberFormat="1" applyFont="1" applyFill="1" applyBorder="1" applyAlignment="1">
      <alignment horizontal="right" vertical="center"/>
    </xf>
    <xf numFmtId="0" fontId="59" fillId="34" borderId="0" xfId="0" applyFont="1" applyFill="1" applyAlignment="1">
      <alignment horizontal="left" vertical="center" indent="15"/>
    </xf>
    <xf numFmtId="169" fontId="59" fillId="32" borderId="29" xfId="28" applyNumberFormat="1" applyFont="1" applyFill="1" applyBorder="1" applyAlignment="1">
      <alignment horizontal="right" vertical="center"/>
    </xf>
    <xf numFmtId="2" fontId="59" fillId="32" borderId="29" xfId="43" applyNumberFormat="1" applyFont="1" applyFill="1" applyBorder="1" applyAlignment="1">
      <alignment horizontal="right" vertical="center"/>
    </xf>
    <xf numFmtId="4" fontId="59" fillId="32" borderId="29" xfId="28" applyNumberFormat="1" applyFont="1" applyFill="1" applyBorder="1" applyAlignment="1">
      <alignment horizontal="right" vertical="center"/>
    </xf>
    <xf numFmtId="0" fontId="49" fillId="34" borderId="0" xfId="0" applyFont="1" applyFill="1" applyProtection="1"/>
    <xf numFmtId="0" fontId="59" fillId="34" borderId="0" xfId="0" applyFont="1" applyFill="1" applyBorder="1" applyAlignment="1" applyProtection="1">
      <alignment horizontal="left" vertical="center"/>
    </xf>
    <xf numFmtId="3" fontId="5" fillId="24" borderId="0" xfId="0" applyNumberFormat="1" applyFont="1" applyFill="1" applyBorder="1" applyAlignment="1" applyProtection="1">
      <alignment vertical="center"/>
    </xf>
    <xf numFmtId="3" fontId="5" fillId="31" borderId="0" xfId="0" applyNumberFormat="1" applyFont="1" applyFill="1" applyBorder="1" applyAlignment="1" applyProtection="1">
      <alignment vertical="center"/>
      <protection locked="0"/>
    </xf>
    <xf numFmtId="2" fontId="5" fillId="32" borderId="0" xfId="0" applyNumberFormat="1" applyFont="1" applyFill="1" applyBorder="1" applyAlignment="1" applyProtection="1">
      <alignment horizontal="left" vertical="center"/>
    </xf>
    <xf numFmtId="4" fontId="5" fillId="31" borderId="32" xfId="0" applyNumberFormat="1" applyFont="1" applyFill="1" applyBorder="1" applyAlignment="1" applyProtection="1">
      <alignment horizontal="center" vertical="center"/>
      <protection locked="0"/>
    </xf>
    <xf numFmtId="4" fontId="5" fillId="31" borderId="33" xfId="0" applyNumberFormat="1" applyFont="1" applyFill="1" applyBorder="1" applyAlignment="1" applyProtection="1">
      <alignment horizontal="center" vertical="center"/>
      <protection locked="0"/>
    </xf>
    <xf numFmtId="4" fontId="5" fillId="31" borderId="34" xfId="0" applyNumberFormat="1" applyFont="1" applyFill="1" applyBorder="1" applyAlignment="1" applyProtection="1">
      <alignment horizontal="center" vertical="center"/>
      <protection locked="0"/>
    </xf>
    <xf numFmtId="4" fontId="5" fillId="31" borderId="35" xfId="0" applyNumberFormat="1" applyFont="1" applyFill="1" applyBorder="1" applyAlignment="1" applyProtection="1">
      <alignment horizontal="center" vertical="center"/>
      <protection locked="0"/>
    </xf>
    <xf numFmtId="4" fontId="5" fillId="31" borderId="36" xfId="0" applyNumberFormat="1" applyFont="1" applyFill="1" applyBorder="1" applyAlignment="1" applyProtection="1">
      <alignment horizontal="center" vertical="center"/>
      <protection locked="0"/>
    </xf>
    <xf numFmtId="4" fontId="5" fillId="31" borderId="37" xfId="0" applyNumberFormat="1" applyFont="1" applyFill="1" applyBorder="1" applyAlignment="1" applyProtection="1">
      <alignment horizontal="center" vertical="center"/>
      <protection locked="0"/>
    </xf>
    <xf numFmtId="4" fontId="5" fillId="24" borderId="24" xfId="0" applyNumberFormat="1" applyFont="1" applyFill="1" applyBorder="1" applyAlignment="1" applyProtection="1">
      <alignment horizontal="center" vertical="center"/>
    </xf>
    <xf numFmtId="4" fontId="5" fillId="24" borderId="38" xfId="0" applyNumberFormat="1" applyFont="1" applyFill="1" applyBorder="1" applyAlignment="1" applyProtection="1">
      <alignment horizontal="center" vertical="center"/>
    </xf>
    <xf numFmtId="4" fontId="5" fillId="24" borderId="39" xfId="0" applyNumberFormat="1" applyFont="1" applyFill="1" applyBorder="1" applyAlignment="1" applyProtection="1">
      <alignment horizontal="center" vertical="center"/>
    </xf>
    <xf numFmtId="4" fontId="5" fillId="29" borderId="40" xfId="0" applyNumberFormat="1" applyFont="1" applyFill="1" applyBorder="1" applyAlignment="1" applyProtection="1">
      <alignment horizontal="center" vertical="center"/>
    </xf>
    <xf numFmtId="0" fontId="50" fillId="35" borderId="0" xfId="40" applyFont="1" applyFill="1" applyAlignment="1" applyProtection="1">
      <alignment vertical="top"/>
    </xf>
    <xf numFmtId="0" fontId="50" fillId="35" borderId="0" xfId="40" applyFont="1" applyFill="1" applyAlignment="1" applyProtection="1">
      <alignment horizontal="left" vertical="top"/>
    </xf>
    <xf numFmtId="0" fontId="30" fillId="35" borderId="0" xfId="40" applyFont="1" applyFill="1" applyAlignment="1" applyProtection="1">
      <alignment vertical="top"/>
    </xf>
    <xf numFmtId="1" fontId="30" fillId="35" borderId="0" xfId="40" applyNumberFormat="1" applyFont="1" applyFill="1" applyAlignment="1" applyProtection="1">
      <alignment horizontal="left" vertical="top"/>
    </xf>
    <xf numFmtId="0" fontId="30" fillId="35" borderId="0" xfId="40" applyFont="1" applyFill="1" applyAlignment="1" applyProtection="1">
      <alignment horizontal="left" vertical="top"/>
    </xf>
    <xf numFmtId="169" fontId="30" fillId="35" borderId="0" xfId="40" applyNumberFormat="1" applyFont="1" applyFill="1" applyAlignment="1" applyProtection="1">
      <alignment horizontal="left" vertical="top"/>
    </xf>
    <xf numFmtId="2" fontId="30" fillId="35" borderId="0" xfId="40" applyNumberFormat="1" applyFont="1" applyFill="1" applyAlignment="1" applyProtection="1">
      <alignment horizontal="left" vertical="top"/>
    </xf>
    <xf numFmtId="0" fontId="0" fillId="35" borderId="0" xfId="0" applyFill="1" applyProtection="1"/>
    <xf numFmtId="4" fontId="0" fillId="35" borderId="0" xfId="0" applyNumberFormat="1" applyFill="1" applyAlignment="1" applyProtection="1">
      <alignment horizontal="left"/>
    </xf>
    <xf numFmtId="49" fontId="30" fillId="35" borderId="0" xfId="40" applyNumberFormat="1" applyFont="1" applyFill="1" applyAlignment="1" applyProtection="1">
      <alignment horizontal="left" vertical="top"/>
    </xf>
    <xf numFmtId="164" fontId="30" fillId="35" borderId="0" xfId="40" applyNumberFormat="1" applyFont="1" applyFill="1" applyAlignment="1" applyProtection="1">
      <alignment horizontal="left" vertical="top"/>
    </xf>
    <xf numFmtId="3" fontId="30" fillId="35" borderId="0" xfId="40" applyNumberFormat="1" applyFont="1" applyFill="1" applyAlignment="1" applyProtection="1">
      <alignment horizontal="left" vertical="top"/>
    </xf>
    <xf numFmtId="0" fontId="5" fillId="34" borderId="83" xfId="0" applyNumberFormat="1" applyFont="1" applyFill="1" applyBorder="1" applyAlignment="1" applyProtection="1">
      <alignment horizontal="center" vertical="center"/>
    </xf>
    <xf numFmtId="0" fontId="5" fillId="24" borderId="83" xfId="0" applyNumberFormat="1" applyFont="1" applyFill="1" applyBorder="1" applyAlignment="1" applyProtection="1">
      <alignment horizontal="center" vertical="center"/>
    </xf>
    <xf numFmtId="0" fontId="4" fillId="36" borderId="83" xfId="0" applyNumberFormat="1" applyFont="1" applyFill="1" applyBorder="1" applyAlignment="1" applyProtection="1">
      <alignment horizontal="center" vertical="center" wrapText="1"/>
    </xf>
    <xf numFmtId="0" fontId="4" fillId="36" borderId="83" xfId="0" applyNumberFormat="1" applyFont="1" applyFill="1" applyBorder="1" applyAlignment="1" applyProtection="1">
      <alignment horizontal="center" vertical="center"/>
    </xf>
    <xf numFmtId="3" fontId="5" fillId="31" borderId="83" xfId="0" applyNumberFormat="1" applyFont="1" applyFill="1" applyBorder="1" applyAlignment="1" applyProtection="1">
      <alignment horizontal="center" vertical="center" shrinkToFit="1"/>
      <protection locked="0"/>
    </xf>
    <xf numFmtId="3" fontId="5" fillId="24" borderId="83" xfId="0" applyNumberFormat="1" applyFont="1" applyFill="1" applyBorder="1" applyAlignment="1" applyProtection="1">
      <alignment horizontal="center" vertical="center" shrinkToFit="1"/>
    </xf>
    <xf numFmtId="0" fontId="41" fillId="34" borderId="83" xfId="0" applyNumberFormat="1" applyFont="1" applyFill="1" applyBorder="1" applyAlignment="1" applyProtection="1">
      <alignment horizontal="left" vertical="center" wrapText="1"/>
    </xf>
    <xf numFmtId="0" fontId="41" fillId="34" borderId="83" xfId="0" applyNumberFormat="1" applyFont="1" applyFill="1" applyBorder="1" applyAlignment="1" applyProtection="1">
      <alignment horizontal="left" vertical="center"/>
    </xf>
    <xf numFmtId="4" fontId="5" fillId="24" borderId="83" xfId="0" applyNumberFormat="1" applyFont="1" applyFill="1" applyBorder="1" applyAlignment="1" applyProtection="1">
      <alignment horizontal="center" vertical="center" shrinkToFit="1"/>
    </xf>
    <xf numFmtId="0" fontId="40" fillId="34" borderId="83" xfId="0" applyNumberFormat="1" applyFont="1" applyFill="1" applyBorder="1" applyAlignment="1" applyProtection="1">
      <alignment horizontal="left" vertical="center"/>
    </xf>
    <xf numFmtId="0" fontId="40" fillId="34" borderId="83" xfId="0" applyNumberFormat="1" applyFont="1" applyFill="1" applyBorder="1" applyAlignment="1" applyProtection="1">
      <alignment horizontal="center" vertical="center" wrapText="1"/>
    </xf>
    <xf numFmtId="0" fontId="40" fillId="34" borderId="83" xfId="0" quotePrefix="1" applyNumberFormat="1" applyFont="1" applyFill="1" applyBorder="1" applyAlignment="1" applyProtection="1">
      <alignment horizontal="center" vertical="center" wrapText="1"/>
    </xf>
    <xf numFmtId="0" fontId="5" fillId="31" borderId="83" xfId="0" applyNumberFormat="1" applyFont="1" applyFill="1" applyBorder="1" applyAlignment="1" applyProtection="1">
      <alignment horizontal="center" vertical="center" shrinkToFit="1"/>
      <protection locked="0"/>
    </xf>
    <xf numFmtId="3" fontId="5" fillId="24" borderId="83" xfId="0" applyNumberFormat="1" applyFont="1" applyFill="1" applyBorder="1" applyAlignment="1" applyProtection="1">
      <alignment horizontal="center" vertical="center"/>
    </xf>
    <xf numFmtId="2" fontId="5" fillId="24" borderId="83" xfId="0" applyNumberFormat="1" applyFont="1" applyFill="1" applyBorder="1" applyAlignment="1" applyProtection="1">
      <alignment horizontal="center" vertical="center"/>
    </xf>
    <xf numFmtId="0" fontId="5" fillId="34" borderId="83" xfId="0" applyNumberFormat="1" applyFont="1" applyFill="1" applyBorder="1" applyAlignment="1" applyProtection="1">
      <alignment horizontal="left" vertical="center"/>
    </xf>
    <xf numFmtId="0" fontId="40" fillId="34" borderId="84" xfId="0" applyNumberFormat="1" applyFont="1" applyFill="1" applyBorder="1" applyAlignment="1" applyProtection="1">
      <alignment vertical="center" wrapText="1"/>
    </xf>
    <xf numFmtId="0" fontId="40" fillId="34" borderId="85" xfId="0" applyNumberFormat="1" applyFont="1" applyFill="1" applyBorder="1" applyAlignment="1" applyProtection="1">
      <alignment vertical="center" wrapText="1"/>
    </xf>
    <xf numFmtId="0" fontId="40" fillId="34" borderId="84" xfId="0" applyNumberFormat="1" applyFont="1" applyFill="1" applyBorder="1" applyAlignment="1" applyProtection="1">
      <alignment vertical="center"/>
    </xf>
    <xf numFmtId="0" fontId="40" fillId="34" borderId="85" xfId="0" applyNumberFormat="1" applyFont="1" applyFill="1" applyBorder="1" applyAlignment="1" applyProtection="1">
      <alignment vertical="center"/>
    </xf>
    <xf numFmtId="0" fontId="5" fillId="29" borderId="41" xfId="0" applyFont="1" applyFill="1" applyBorder="1" applyAlignment="1" applyProtection="1">
      <alignment vertical="center"/>
    </xf>
    <xf numFmtId="3" fontId="5" fillId="34" borderId="0" xfId="0" applyNumberFormat="1" applyFont="1" applyFill="1" applyBorder="1" applyAlignment="1" applyProtection="1">
      <alignment vertical="center"/>
    </xf>
    <xf numFmtId="0" fontId="5" fillId="34" borderId="0" xfId="0" applyFont="1" applyFill="1" applyBorder="1" applyAlignment="1" applyProtection="1">
      <alignment vertical="center"/>
    </xf>
    <xf numFmtId="0" fontId="2" fillId="32" borderId="0" xfId="0" applyFont="1" applyFill="1" applyAlignment="1" applyProtection="1">
      <alignment vertical="center"/>
    </xf>
    <xf numFmtId="0" fontId="5" fillId="32" borderId="0" xfId="0" applyFont="1" applyFill="1" applyAlignment="1">
      <alignment horizontal="left" wrapText="1"/>
    </xf>
    <xf numFmtId="0" fontId="5" fillId="32" borderId="0" xfId="0" applyFont="1" applyFill="1" applyBorder="1" applyAlignment="1" applyProtection="1">
      <alignment vertical="center"/>
    </xf>
    <xf numFmtId="0" fontId="5" fillId="32" borderId="20" xfId="0" applyFont="1" applyFill="1" applyBorder="1" applyAlignment="1" applyProtection="1">
      <alignment vertical="center"/>
    </xf>
    <xf numFmtId="0" fontId="4" fillId="32" borderId="0" xfId="0" applyFont="1" applyFill="1" applyBorder="1" applyAlignment="1" applyProtection="1">
      <alignment vertical="center"/>
    </xf>
    <xf numFmtId="0" fontId="4" fillId="32" borderId="0" xfId="0" applyFont="1" applyFill="1" applyBorder="1" applyAlignment="1" applyProtection="1">
      <alignment horizontal="center" vertical="center"/>
    </xf>
    <xf numFmtId="2" fontId="5" fillId="32" borderId="0" xfId="0" applyNumberFormat="1" applyFont="1" applyFill="1" applyBorder="1" applyAlignment="1" applyProtection="1">
      <alignment vertical="center"/>
    </xf>
    <xf numFmtId="0" fontId="5" fillId="32" borderId="0" xfId="0" applyFont="1" applyFill="1" applyAlignment="1" applyProtection="1"/>
    <xf numFmtId="0" fontId="7" fillId="32" borderId="0" xfId="0" applyFont="1" applyFill="1" applyAlignment="1" applyProtection="1"/>
    <xf numFmtId="3" fontId="5" fillId="37" borderId="0" xfId="0" applyNumberFormat="1" applyFont="1" applyFill="1" applyBorder="1" applyAlignment="1" applyProtection="1">
      <alignment vertical="center"/>
      <protection locked="0"/>
    </xf>
    <xf numFmtId="0" fontId="63" fillId="29" borderId="0" xfId="0" applyFont="1" applyFill="1" applyAlignment="1" applyProtection="1">
      <alignment vertical="center"/>
    </xf>
    <xf numFmtId="0" fontId="2" fillId="0" borderId="42" xfId="0" applyFont="1" applyBorder="1" applyAlignment="1">
      <alignment horizontal="center" vertical="top" wrapText="1"/>
    </xf>
    <xf numFmtId="0" fontId="2" fillId="0" borderId="15" xfId="0" applyFont="1" applyFill="1" applyBorder="1" applyAlignment="1">
      <alignment horizontal="center" vertical="top" wrapText="1"/>
    </xf>
    <xf numFmtId="0" fontId="2" fillId="0" borderId="42" xfId="0" applyFont="1" applyFill="1" applyBorder="1" applyAlignment="1">
      <alignment horizontal="center" vertical="top" wrapText="1"/>
    </xf>
    <xf numFmtId="9" fontId="3" fillId="25" borderId="15" xfId="0" applyNumberFormat="1" applyFont="1" applyFill="1" applyBorder="1" applyAlignment="1">
      <alignment horizontal="center" vertical="top" wrapText="1"/>
    </xf>
    <xf numFmtId="7" fontId="55" fillId="0" borderId="0" xfId="0" applyNumberFormat="1" applyFont="1" applyAlignment="1">
      <alignment horizontal="right"/>
    </xf>
    <xf numFmtId="0" fontId="64" fillId="0" borderId="43" xfId="0" applyFont="1" applyBorder="1" applyAlignment="1">
      <alignment horizontal="left" vertical="center" wrapText="1" indent="1"/>
    </xf>
    <xf numFmtId="0" fontId="0" fillId="0" borderId="44" xfId="0" applyBorder="1" applyAlignment="1">
      <alignment horizontal="left" vertical="center" wrapText="1" indent="2"/>
    </xf>
    <xf numFmtId="170" fontId="0" fillId="0" borderId="16" xfId="0" applyNumberFormat="1" applyFont="1" applyBorder="1" applyAlignment="1"/>
    <xf numFmtId="0" fontId="64" fillId="0" borderId="44" xfId="0" applyFont="1" applyBorder="1" applyAlignment="1">
      <alignment horizontal="left" vertical="center" wrapText="1" indent="1"/>
    </xf>
    <xf numFmtId="0" fontId="64" fillId="0" borderId="44" xfId="0" applyFont="1" applyFill="1" applyBorder="1" applyAlignment="1">
      <alignment horizontal="left" vertical="center" wrapText="1" indent="1"/>
    </xf>
    <xf numFmtId="0" fontId="0" fillId="0" borderId="44" xfId="0" applyFill="1" applyBorder="1" applyAlignment="1">
      <alignment horizontal="left" vertical="center" wrapText="1" indent="2"/>
    </xf>
    <xf numFmtId="0" fontId="65" fillId="0" borderId="45" xfId="0" applyFont="1" applyBorder="1"/>
    <xf numFmtId="0" fontId="0" fillId="0" borderId="0" xfId="0" applyAlignment="1"/>
    <xf numFmtId="170" fontId="55" fillId="0" borderId="16" xfId="0" applyNumberFormat="1" applyFont="1" applyBorder="1" applyAlignment="1">
      <alignment wrapText="1"/>
    </xf>
    <xf numFmtId="170" fontId="65" fillId="0" borderId="46" xfId="30" applyNumberFormat="1" applyFont="1" applyBorder="1" applyAlignment="1"/>
    <xf numFmtId="0" fontId="0" fillId="0" borderId="44" xfId="0" applyBorder="1" applyAlignment="1">
      <alignment horizontal="left" indent="2"/>
    </xf>
    <xf numFmtId="7" fontId="55" fillId="0" borderId="13" xfId="0" applyNumberFormat="1" applyFont="1" applyBorder="1" applyAlignment="1">
      <alignment horizontal="right"/>
    </xf>
    <xf numFmtId="0" fontId="55" fillId="0" borderId="43" xfId="0" applyFont="1" applyBorder="1" applyAlignment="1">
      <alignment vertical="center" wrapText="1"/>
    </xf>
    <xf numFmtId="0" fontId="55" fillId="0" borderId="47" xfId="0" applyFont="1" applyBorder="1" applyAlignment="1">
      <alignment horizontal="right" vertical="center" wrapText="1"/>
    </xf>
    <xf numFmtId="7" fontId="55" fillId="0" borderId="14" xfId="0" applyNumberFormat="1" applyFont="1" applyBorder="1" applyAlignment="1">
      <alignment horizontal="right" vertical="center" wrapText="1"/>
    </xf>
    <xf numFmtId="0" fontId="0" fillId="0" borderId="44" xfId="0" applyBorder="1" applyAlignment="1">
      <alignment vertical="center" wrapText="1"/>
    </xf>
    <xf numFmtId="0" fontId="0" fillId="0" borderId="0" xfId="0" applyBorder="1" applyAlignment="1">
      <alignment horizontal="right" vertical="center" wrapText="1"/>
    </xf>
    <xf numFmtId="44" fontId="55" fillId="0" borderId="16" xfId="0" applyNumberFormat="1" applyFont="1" applyBorder="1" applyAlignment="1">
      <alignment horizontal="right"/>
    </xf>
    <xf numFmtId="6" fontId="0" fillId="0" borderId="0" xfId="0" applyNumberFormat="1" applyBorder="1" applyAlignment="1">
      <alignment vertical="center" wrapText="1"/>
    </xf>
    <xf numFmtId="44" fontId="55" fillId="0" borderId="16" xfId="0" applyNumberFormat="1" applyFont="1" applyBorder="1" applyAlignment="1">
      <alignment horizontal="right" vertical="center" wrapText="1"/>
    </xf>
    <xf numFmtId="0" fontId="0" fillId="0" borderId="48" xfId="0" applyBorder="1" applyAlignment="1">
      <alignment vertical="center" wrapText="1"/>
    </xf>
    <xf numFmtId="3" fontId="0" fillId="0" borderId="31" xfId="0" applyNumberFormat="1" applyBorder="1" applyAlignment="1">
      <alignment vertical="center" wrapText="1"/>
    </xf>
    <xf numFmtId="44" fontId="55" fillId="0" borderId="49" xfId="0" applyNumberFormat="1" applyFont="1" applyBorder="1" applyAlignment="1">
      <alignment horizontal="right" vertical="center" wrapText="1"/>
    </xf>
    <xf numFmtId="0" fontId="55" fillId="0" borderId="44" xfId="0" applyFont="1" applyBorder="1" applyAlignment="1">
      <alignment vertical="center" wrapText="1"/>
    </xf>
    <xf numFmtId="44" fontId="55" fillId="0" borderId="16" xfId="0" applyNumberFormat="1" applyFont="1" applyFill="1" applyBorder="1" applyAlignment="1">
      <alignment horizontal="right" vertical="center" wrapText="1"/>
    </xf>
    <xf numFmtId="0" fontId="0" fillId="0" borderId="31" xfId="0" applyBorder="1" applyAlignment="1">
      <alignment horizontal="right" vertical="center" wrapText="1"/>
    </xf>
    <xf numFmtId="44" fontId="55" fillId="0" borderId="49" xfId="0" applyNumberFormat="1" applyFont="1" applyFill="1" applyBorder="1" applyAlignment="1">
      <alignment horizontal="right" vertical="center" wrapText="1"/>
    </xf>
    <xf numFmtId="0" fontId="0" fillId="0" borderId="31" xfId="0" applyBorder="1" applyAlignment="1">
      <alignment horizontal="right"/>
    </xf>
    <xf numFmtId="44" fontId="55" fillId="0" borderId="49" xfId="0" applyNumberFormat="1" applyFont="1" applyBorder="1" applyAlignment="1">
      <alignment horizontal="right"/>
    </xf>
    <xf numFmtId="0" fontId="55" fillId="0" borderId="44" xfId="0" applyFont="1" applyFill="1" applyBorder="1" applyAlignment="1">
      <alignment vertical="center" wrapText="1"/>
    </xf>
    <xf numFmtId="0" fontId="0" fillId="0" borderId="0" xfId="0" applyBorder="1" applyAlignment="1">
      <alignment horizontal="right"/>
    </xf>
    <xf numFmtId="0" fontId="0" fillId="0" borderId="44" xfId="0" applyFill="1" applyBorder="1" applyAlignment="1">
      <alignment vertical="center" wrapText="1"/>
    </xf>
    <xf numFmtId="44" fontId="55" fillId="0" borderId="50" xfId="0" applyNumberFormat="1" applyFont="1" applyBorder="1" applyAlignment="1">
      <alignment horizontal="right"/>
    </xf>
    <xf numFmtId="0" fontId="0" fillId="0" borderId="45" xfId="0" applyBorder="1"/>
    <xf numFmtId="0" fontId="0" fillId="0" borderId="51" xfId="0" applyBorder="1" applyAlignment="1">
      <alignment horizontal="right"/>
    </xf>
    <xf numFmtId="44" fontId="55" fillId="0" borderId="52" xfId="0" applyNumberFormat="1" applyFont="1" applyBorder="1" applyAlignment="1">
      <alignment horizontal="right"/>
    </xf>
    <xf numFmtId="0" fontId="0" fillId="0" borderId="44" xfId="0" applyBorder="1"/>
    <xf numFmtId="6" fontId="0" fillId="0" borderId="0" xfId="0" applyNumberFormat="1" applyBorder="1" applyAlignment="1">
      <alignment horizontal="right"/>
    </xf>
    <xf numFmtId="7" fontId="55" fillId="0" borderId="16" xfId="0" applyNumberFormat="1" applyFont="1" applyBorder="1" applyAlignment="1">
      <alignment horizontal="right"/>
    </xf>
    <xf numFmtId="0" fontId="0" fillId="0" borderId="53" xfId="0" applyBorder="1"/>
    <xf numFmtId="6" fontId="0" fillId="0" borderId="42" xfId="0" applyNumberFormat="1" applyBorder="1" applyAlignment="1">
      <alignment horizontal="right"/>
    </xf>
    <xf numFmtId="7" fontId="55" fillId="0" borderId="11" xfId="0" applyNumberFormat="1" applyFont="1" applyBorder="1" applyAlignment="1">
      <alignment horizontal="right"/>
    </xf>
    <xf numFmtId="0" fontId="0" fillId="0" borderId="0" xfId="0" applyAlignment="1">
      <alignment horizontal="right"/>
    </xf>
    <xf numFmtId="0" fontId="66" fillId="0" borderId="54" xfId="0" applyFont="1" applyBorder="1"/>
    <xf numFmtId="0" fontId="25" fillId="0" borderId="44" xfId="0" applyFont="1" applyBorder="1" applyAlignment="1">
      <alignment horizontal="left" vertical="center" wrapText="1" indent="2"/>
    </xf>
    <xf numFmtId="0" fontId="25" fillId="0" borderId="44" xfId="0" applyFont="1" applyBorder="1" applyAlignment="1">
      <alignment vertical="center" wrapText="1"/>
    </xf>
    <xf numFmtId="0" fontId="59" fillId="32" borderId="55" xfId="0" applyFont="1" applyFill="1" applyBorder="1" applyAlignment="1">
      <alignment horizontal="left" vertical="center" wrapText="1"/>
    </xf>
    <xf numFmtId="0" fontId="59" fillId="32" borderId="56" xfId="0" applyFont="1" applyFill="1" applyBorder="1" applyAlignment="1">
      <alignment horizontal="left" vertical="center" wrapText="1"/>
    </xf>
    <xf numFmtId="0" fontId="59" fillId="32" borderId="57" xfId="0" applyFont="1" applyFill="1" applyBorder="1" applyAlignment="1">
      <alignment horizontal="left" vertical="center" wrapText="1"/>
    </xf>
    <xf numFmtId="0" fontId="59" fillId="32" borderId="29" xfId="0" applyFont="1" applyFill="1" applyBorder="1" applyAlignment="1">
      <alignment horizontal="left" vertical="center" wrapText="1"/>
    </xf>
    <xf numFmtId="3" fontId="5" fillId="24" borderId="58" xfId="28" applyNumberFormat="1" applyFont="1" applyFill="1" applyBorder="1" applyAlignment="1" applyProtection="1">
      <alignment horizontal="center" vertical="center" shrinkToFit="1"/>
    </xf>
    <xf numFmtId="2" fontId="5" fillId="31" borderId="58" xfId="0" applyNumberFormat="1" applyFont="1" applyFill="1" applyBorder="1" applyAlignment="1" applyProtection="1">
      <alignment horizontal="center" vertical="center"/>
      <protection locked="0"/>
    </xf>
    <xf numFmtId="3" fontId="5" fillId="24" borderId="58" xfId="28" applyNumberFormat="1" applyFont="1" applyFill="1" applyBorder="1" applyAlignment="1" applyProtection="1">
      <alignment horizontal="center" vertical="center"/>
    </xf>
    <xf numFmtId="2" fontId="5" fillId="31" borderId="59" xfId="0" applyNumberFormat="1" applyFont="1" applyFill="1" applyBorder="1" applyAlignment="1" applyProtection="1">
      <alignment horizontal="center" vertical="center"/>
      <protection locked="0"/>
    </xf>
    <xf numFmtId="3" fontId="5" fillId="24" borderId="59" xfId="28" applyNumberFormat="1" applyFont="1" applyFill="1" applyBorder="1" applyAlignment="1" applyProtection="1">
      <alignment horizontal="center" vertical="center"/>
    </xf>
    <xf numFmtId="3" fontId="5" fillId="24" borderId="59" xfId="28" applyNumberFormat="1" applyFont="1" applyFill="1" applyBorder="1" applyAlignment="1" applyProtection="1">
      <alignment horizontal="center" vertical="center" shrinkToFit="1"/>
    </xf>
    <xf numFmtId="0" fontId="5" fillId="0" borderId="0" xfId="0" applyFont="1" applyAlignment="1">
      <alignment horizontal="left" wrapText="1"/>
    </xf>
    <xf numFmtId="3" fontId="5" fillId="24" borderId="31" xfId="0" applyNumberFormat="1" applyFont="1" applyFill="1" applyBorder="1" applyAlignment="1" applyProtection="1">
      <alignment horizontal="center" vertical="center"/>
    </xf>
    <xf numFmtId="49" fontId="5" fillId="29" borderId="0" xfId="0" applyNumberFormat="1" applyFont="1" applyFill="1" applyBorder="1" applyAlignment="1" applyProtection="1">
      <alignment horizontal="center" vertical="center"/>
    </xf>
    <xf numFmtId="4" fontId="5" fillId="31" borderId="58" xfId="0" applyNumberFormat="1" applyFont="1" applyFill="1" applyBorder="1" applyAlignment="1" applyProtection="1">
      <alignment horizontal="center" vertical="center"/>
      <protection locked="0"/>
    </xf>
    <xf numFmtId="17" fontId="5" fillId="31" borderId="59" xfId="0" applyNumberFormat="1" applyFont="1" applyFill="1" applyBorder="1" applyAlignment="1" applyProtection="1">
      <alignment horizontal="center" vertical="center"/>
      <protection locked="0"/>
    </xf>
    <xf numFmtId="0" fontId="5" fillId="31" borderId="59" xfId="0" applyFont="1" applyFill="1" applyBorder="1" applyAlignment="1" applyProtection="1">
      <alignment horizontal="center" vertical="center"/>
      <protection locked="0"/>
    </xf>
    <xf numFmtId="49" fontId="5" fillId="31" borderId="58" xfId="0" applyNumberFormat="1" applyFont="1" applyFill="1" applyBorder="1" applyAlignment="1" applyProtection="1">
      <alignment horizontal="center" vertical="center"/>
      <protection locked="0"/>
    </xf>
    <xf numFmtId="0" fontId="4" fillId="29" borderId="0" xfId="0" applyFont="1" applyFill="1" applyAlignment="1" applyProtection="1">
      <alignment horizontal="center" vertical="center"/>
    </xf>
    <xf numFmtId="0" fontId="5" fillId="29" borderId="0" xfId="0" applyFont="1" applyFill="1" applyAlignment="1" applyProtection="1">
      <alignment horizontal="center" vertical="center"/>
    </xf>
    <xf numFmtId="0" fontId="5" fillId="29" borderId="31" xfId="0" applyFont="1" applyFill="1" applyBorder="1" applyAlignment="1" applyProtection="1">
      <alignment horizontal="center" vertical="center"/>
    </xf>
    <xf numFmtId="0" fontId="4" fillId="29" borderId="0" xfId="0" applyFont="1" applyFill="1" applyBorder="1" applyAlignment="1" applyProtection="1">
      <alignment horizontal="center" vertical="center"/>
    </xf>
    <xf numFmtId="2" fontId="5" fillId="24" borderId="59" xfId="0" applyNumberFormat="1" applyFont="1" applyFill="1" applyBorder="1" applyAlignment="1" applyProtection="1">
      <alignment horizontal="center" vertical="center"/>
    </xf>
    <xf numFmtId="2" fontId="5" fillId="24" borderId="60" xfId="0" applyNumberFormat="1" applyFont="1" applyFill="1" applyBorder="1" applyAlignment="1" applyProtection="1">
      <alignment horizontal="center" vertical="center"/>
    </xf>
    <xf numFmtId="0" fontId="5" fillId="29" borderId="0" xfId="0" applyFont="1" applyFill="1" applyBorder="1" applyAlignment="1" applyProtection="1">
      <alignment horizontal="center" vertical="center"/>
    </xf>
    <xf numFmtId="0" fontId="4" fillId="29" borderId="61" xfId="0" applyFont="1" applyFill="1" applyBorder="1" applyAlignment="1" applyProtection="1">
      <alignment horizontal="center" vertical="center"/>
    </xf>
    <xf numFmtId="3" fontId="5" fillId="24" borderId="61" xfId="0" applyNumberFormat="1" applyFont="1" applyFill="1" applyBorder="1" applyAlignment="1" applyProtection="1">
      <alignment horizontal="center" vertical="center"/>
    </xf>
    <xf numFmtId="0" fontId="4" fillId="29" borderId="31" xfId="0" applyFont="1" applyFill="1" applyBorder="1" applyAlignment="1" applyProtection="1">
      <alignment horizontal="center" vertical="center"/>
    </xf>
    <xf numFmtId="0" fontId="5" fillId="29" borderId="0" xfId="0" applyFont="1" applyFill="1" applyAlignment="1" applyProtection="1">
      <alignment horizontal="left" vertical="center"/>
    </xf>
    <xf numFmtId="3" fontId="5" fillId="24" borderId="0" xfId="28" applyNumberFormat="1" applyFont="1" applyFill="1" applyBorder="1" applyAlignment="1" applyProtection="1">
      <alignment horizontal="center" vertical="center"/>
    </xf>
    <xf numFmtId="0" fontId="5" fillId="31" borderId="60" xfId="0" applyFont="1" applyFill="1" applyBorder="1" applyAlignment="1" applyProtection="1">
      <alignment horizontal="center" vertical="center" wrapText="1" shrinkToFit="1"/>
      <protection locked="0"/>
    </xf>
    <xf numFmtId="3" fontId="5" fillId="31" borderId="58" xfId="0" applyNumberFormat="1" applyFont="1" applyFill="1" applyBorder="1" applyAlignment="1" applyProtection="1">
      <alignment horizontal="center" vertical="center"/>
      <protection locked="0"/>
    </xf>
    <xf numFmtId="1" fontId="5" fillId="31" borderId="59" xfId="0" applyNumberFormat="1" applyFont="1" applyFill="1" applyBorder="1" applyAlignment="1" applyProtection="1">
      <alignment horizontal="center" vertical="center"/>
      <protection locked="0"/>
    </xf>
    <xf numFmtId="0" fontId="5" fillId="29" borderId="19" xfId="0" applyFont="1" applyFill="1" applyBorder="1" applyAlignment="1" applyProtection="1">
      <alignment horizontal="left" vertical="center"/>
    </xf>
    <xf numFmtId="0" fontId="5" fillId="31" borderId="59" xfId="0" applyFont="1" applyFill="1" applyBorder="1" applyAlignment="1" applyProtection="1">
      <alignment vertical="center" wrapText="1" shrinkToFit="1"/>
      <protection locked="0"/>
    </xf>
    <xf numFmtId="0" fontId="5" fillId="31" borderId="58" xfId="0" applyFont="1" applyFill="1" applyBorder="1" applyAlignment="1" applyProtection="1">
      <alignment vertical="center" wrapText="1" shrinkToFit="1"/>
      <protection locked="0"/>
    </xf>
    <xf numFmtId="49" fontId="5" fillId="31" borderId="59" xfId="0" applyNumberFormat="1" applyFont="1" applyFill="1" applyBorder="1" applyAlignment="1" applyProtection="1">
      <alignment horizontal="center" vertical="center"/>
      <protection locked="0"/>
    </xf>
    <xf numFmtId="0" fontId="5" fillId="29" borderId="62" xfId="0" applyFont="1" applyFill="1" applyBorder="1" applyAlignment="1" applyProtection="1">
      <alignment horizontal="left" vertical="center"/>
    </xf>
    <xf numFmtId="0" fontId="5" fillId="29" borderId="0" xfId="0" applyFont="1" applyFill="1" applyBorder="1" applyAlignment="1" applyProtection="1">
      <alignment horizontal="left" vertical="center"/>
    </xf>
    <xf numFmtId="0" fontId="5" fillId="31" borderId="59" xfId="0" applyFont="1" applyFill="1" applyBorder="1" applyAlignment="1" applyProtection="1">
      <alignment horizontal="center" vertical="center" wrapText="1" shrinkToFit="1"/>
      <protection locked="0"/>
    </xf>
    <xf numFmtId="0" fontId="5" fillId="31" borderId="58" xfId="0" applyFont="1" applyFill="1" applyBorder="1" applyAlignment="1" applyProtection="1">
      <alignment horizontal="center" vertical="center"/>
      <protection locked="0"/>
    </xf>
    <xf numFmtId="0" fontId="5" fillId="24" borderId="58" xfId="0" applyFont="1" applyFill="1" applyBorder="1" applyAlignment="1" applyProtection="1">
      <alignment horizontal="center" vertical="center"/>
    </xf>
    <xf numFmtId="0" fontId="5" fillId="31" borderId="58" xfId="0" applyFont="1" applyFill="1" applyBorder="1" applyAlignment="1" applyProtection="1">
      <alignment horizontal="center" vertical="center" wrapText="1" shrinkToFit="1"/>
      <protection locked="0"/>
    </xf>
    <xf numFmtId="0" fontId="5" fillId="31" borderId="63" xfId="0" applyFont="1" applyFill="1" applyBorder="1" applyAlignment="1" applyProtection="1">
      <alignment horizontal="center" vertical="center"/>
      <protection locked="0"/>
    </xf>
    <xf numFmtId="3" fontId="5" fillId="31" borderId="63" xfId="0" applyNumberFormat="1" applyFont="1" applyFill="1" applyBorder="1" applyAlignment="1" applyProtection="1">
      <alignment horizontal="center" vertical="center"/>
      <protection locked="0"/>
    </xf>
    <xf numFmtId="2" fontId="5" fillId="24" borderId="38" xfId="0" applyNumberFormat="1" applyFont="1" applyFill="1" applyBorder="1" applyAlignment="1" applyProtection="1">
      <alignment horizontal="center" vertical="center"/>
    </xf>
    <xf numFmtId="3" fontId="5" fillId="24" borderId="25" xfId="0" applyNumberFormat="1" applyFont="1" applyFill="1" applyBorder="1" applyAlignment="1" applyProtection="1">
      <alignment horizontal="center" vertical="center"/>
    </xf>
    <xf numFmtId="3" fontId="5" fillId="24" borderId="63" xfId="0" applyNumberFormat="1" applyFont="1" applyFill="1" applyBorder="1" applyAlignment="1" applyProtection="1">
      <alignment horizontal="center" vertical="center"/>
    </xf>
    <xf numFmtId="3" fontId="5" fillId="24" borderId="64" xfId="0" applyNumberFormat="1" applyFont="1" applyFill="1" applyBorder="1" applyAlignment="1" applyProtection="1">
      <alignment horizontal="center" vertical="center"/>
    </xf>
    <xf numFmtId="3" fontId="5" fillId="24" borderId="24" xfId="0" applyNumberFormat="1" applyFont="1" applyFill="1" applyBorder="1" applyAlignment="1" applyProtection="1">
      <alignment horizontal="center" vertical="center"/>
    </xf>
    <xf numFmtId="3" fontId="5" fillId="24" borderId="38" xfId="0" applyNumberFormat="1" applyFont="1" applyFill="1" applyBorder="1" applyAlignment="1" applyProtection="1">
      <alignment horizontal="center" vertical="center"/>
    </xf>
    <xf numFmtId="3" fontId="5" fillId="24" borderId="39" xfId="0" applyNumberFormat="1" applyFont="1" applyFill="1" applyBorder="1" applyAlignment="1" applyProtection="1">
      <alignment horizontal="center" vertical="center"/>
    </xf>
    <xf numFmtId="0" fontId="5" fillId="31" borderId="38" xfId="0" applyFont="1" applyFill="1" applyBorder="1" applyAlignment="1" applyProtection="1">
      <alignment horizontal="center" vertical="center"/>
      <protection locked="0"/>
    </xf>
    <xf numFmtId="0" fontId="5" fillId="31" borderId="36" xfId="0" applyFont="1" applyFill="1" applyBorder="1" applyAlignment="1" applyProtection="1">
      <alignment horizontal="center" vertical="center"/>
      <protection locked="0"/>
    </xf>
    <xf numFmtId="3" fontId="5" fillId="24" borderId="26" xfId="0" applyNumberFormat="1" applyFont="1" applyFill="1" applyBorder="1" applyAlignment="1" applyProtection="1">
      <alignment horizontal="center" vertical="center"/>
    </xf>
    <xf numFmtId="3" fontId="5" fillId="24" borderId="36" xfId="0" applyNumberFormat="1" applyFont="1" applyFill="1" applyBorder="1" applyAlignment="1" applyProtection="1">
      <alignment horizontal="center" vertical="center"/>
    </xf>
    <xf numFmtId="3" fontId="5" fillId="24" borderId="65" xfId="0" applyNumberFormat="1" applyFont="1" applyFill="1" applyBorder="1" applyAlignment="1" applyProtection="1">
      <alignment horizontal="center" vertical="center"/>
    </xf>
    <xf numFmtId="3" fontId="5" fillId="31" borderId="36" xfId="0" applyNumberFormat="1" applyFont="1" applyFill="1" applyBorder="1" applyAlignment="1" applyProtection="1">
      <alignment horizontal="center" vertical="center"/>
      <protection locked="0"/>
    </xf>
    <xf numFmtId="3" fontId="5" fillId="24" borderId="0" xfId="0" applyNumberFormat="1" applyFont="1" applyFill="1" applyBorder="1" applyAlignment="1" applyProtection="1">
      <alignment horizontal="center" vertical="center"/>
    </xf>
    <xf numFmtId="3" fontId="5" fillId="24" borderId="58" xfId="0" applyNumberFormat="1" applyFont="1" applyFill="1" applyBorder="1" applyAlignment="1" applyProtection="1">
      <alignment horizontal="center" vertical="center"/>
    </xf>
    <xf numFmtId="0" fontId="5" fillId="37" borderId="86" xfId="0" applyFont="1" applyFill="1" applyBorder="1" applyAlignment="1" applyProtection="1">
      <alignment horizontal="center" vertical="center"/>
      <protection locked="0"/>
    </xf>
    <xf numFmtId="0" fontId="5" fillId="37" borderId="87" xfId="0" applyFont="1" applyFill="1" applyBorder="1" applyAlignment="1" applyProtection="1">
      <alignment horizontal="center" vertical="center"/>
      <protection locked="0"/>
    </xf>
    <xf numFmtId="0" fontId="5" fillId="37" borderId="88" xfId="0" applyFont="1" applyFill="1" applyBorder="1" applyAlignment="1" applyProtection="1">
      <alignment horizontal="center" vertical="center"/>
      <protection locked="0"/>
    </xf>
    <xf numFmtId="3" fontId="5" fillId="31" borderId="60" xfId="0" applyNumberFormat="1" applyFont="1" applyFill="1" applyBorder="1" applyAlignment="1" applyProtection="1">
      <alignment horizontal="center" vertical="center"/>
      <protection locked="0"/>
    </xf>
    <xf numFmtId="0" fontId="37" fillId="30" borderId="22" xfId="0" applyFont="1" applyFill="1" applyBorder="1" applyAlignment="1" applyProtection="1">
      <alignment horizontal="center" vertical="center"/>
    </xf>
    <xf numFmtId="0" fontId="37" fillId="30" borderId="23" xfId="0" applyFont="1" applyFill="1" applyBorder="1" applyAlignment="1" applyProtection="1">
      <alignment horizontal="center" vertical="center"/>
    </xf>
    <xf numFmtId="0" fontId="5" fillId="29" borderId="0" xfId="0" applyNumberFormat="1" applyFont="1" applyFill="1" applyBorder="1" applyAlignment="1" applyProtection="1">
      <alignment horizontal="center" vertical="center"/>
    </xf>
    <xf numFmtId="3" fontId="5" fillId="31" borderId="38" xfId="0" applyNumberFormat="1" applyFont="1" applyFill="1" applyBorder="1" applyAlignment="1" applyProtection="1">
      <alignment horizontal="center" vertical="center"/>
      <protection locked="0"/>
    </xf>
    <xf numFmtId="3" fontId="5" fillId="31" borderId="0" xfId="0" applyNumberFormat="1" applyFont="1" applyFill="1" applyBorder="1" applyAlignment="1" applyProtection="1">
      <alignment horizontal="center" vertical="center"/>
      <protection locked="0"/>
    </xf>
    <xf numFmtId="0" fontId="5" fillId="31" borderId="63" xfId="0" applyFont="1" applyFill="1" applyBorder="1" applyAlignment="1" applyProtection="1">
      <alignment horizontal="center" vertical="center" wrapText="1"/>
      <protection locked="0"/>
    </xf>
    <xf numFmtId="0" fontId="5" fillId="31" borderId="38" xfId="0" applyFont="1" applyFill="1" applyBorder="1" applyAlignment="1" applyProtection="1">
      <alignment horizontal="center" vertical="center" wrapText="1"/>
      <protection locked="0"/>
    </xf>
    <xf numFmtId="3" fontId="5" fillId="31" borderId="38" xfId="0" applyNumberFormat="1" applyFont="1" applyFill="1" applyBorder="1" applyAlignment="1" applyProtection="1">
      <alignment horizontal="center" vertical="center" wrapText="1"/>
      <protection locked="0"/>
    </xf>
    <xf numFmtId="3" fontId="5" fillId="31" borderId="63" xfId="0" applyNumberFormat="1" applyFont="1" applyFill="1" applyBorder="1" applyAlignment="1" applyProtection="1">
      <alignment horizontal="center" vertical="center" wrapText="1"/>
      <protection locked="0"/>
    </xf>
    <xf numFmtId="3" fontId="5" fillId="24" borderId="26" xfId="0" applyNumberFormat="1" applyFont="1" applyFill="1" applyBorder="1" applyAlignment="1" applyProtection="1">
      <alignment horizontal="center" vertical="center" wrapText="1"/>
    </xf>
    <xf numFmtId="3" fontId="5" fillId="24" borderId="36" xfId="0" applyNumberFormat="1" applyFont="1" applyFill="1" applyBorder="1" applyAlignment="1" applyProtection="1">
      <alignment horizontal="center" vertical="center" wrapText="1"/>
    </xf>
    <xf numFmtId="3" fontId="5" fillId="24" borderId="65" xfId="0" applyNumberFormat="1" applyFont="1" applyFill="1" applyBorder="1" applyAlignment="1" applyProtection="1">
      <alignment horizontal="center" vertical="center" wrapText="1"/>
    </xf>
    <xf numFmtId="0" fontId="5" fillId="31" borderId="36" xfId="0" applyFont="1" applyFill="1" applyBorder="1" applyAlignment="1" applyProtection="1">
      <alignment horizontal="center" vertical="center" wrapText="1"/>
      <protection locked="0"/>
    </xf>
    <xf numFmtId="3" fontId="5" fillId="31" borderId="36" xfId="0" applyNumberFormat="1" applyFont="1" applyFill="1" applyBorder="1" applyAlignment="1" applyProtection="1">
      <alignment horizontal="center" vertical="center" wrapText="1"/>
      <protection locked="0"/>
    </xf>
    <xf numFmtId="0" fontId="44" fillId="0" borderId="0" xfId="0" applyFont="1" applyAlignment="1">
      <alignment horizontal="left" wrapText="1"/>
    </xf>
    <xf numFmtId="0" fontId="5" fillId="32" borderId="0" xfId="0" applyNumberFormat="1" applyFont="1" applyFill="1" applyBorder="1" applyAlignment="1" applyProtection="1">
      <alignment horizontal="center" vertical="center"/>
    </xf>
    <xf numFmtId="3" fontId="5" fillId="24" borderId="59" xfId="0" applyNumberFormat="1" applyFont="1" applyFill="1" applyBorder="1" applyAlignment="1" applyProtection="1">
      <alignment horizontal="center" vertical="center"/>
    </xf>
    <xf numFmtId="3" fontId="5" fillId="24" borderId="60" xfId="0" applyNumberFormat="1" applyFont="1" applyFill="1" applyBorder="1" applyAlignment="1" applyProtection="1">
      <alignment horizontal="center" vertical="center"/>
    </xf>
    <xf numFmtId="3" fontId="5" fillId="31" borderId="66" xfId="0" applyNumberFormat="1" applyFont="1" applyFill="1" applyBorder="1" applyAlignment="1" applyProtection="1">
      <alignment horizontal="center" vertical="center" wrapText="1"/>
      <protection locked="0"/>
    </xf>
    <xf numFmtId="3" fontId="5" fillId="31" borderId="25" xfId="0" applyNumberFormat="1" applyFont="1" applyFill="1" applyBorder="1" applyAlignment="1" applyProtection="1">
      <alignment horizontal="center" vertical="center" wrapText="1"/>
      <protection locked="0"/>
    </xf>
    <xf numFmtId="2" fontId="5" fillId="24" borderId="0" xfId="0" applyNumberFormat="1" applyFont="1" applyFill="1" applyAlignment="1" applyProtection="1">
      <alignment horizontal="center"/>
    </xf>
    <xf numFmtId="0" fontId="5" fillId="29" borderId="27" xfId="0" applyFont="1" applyFill="1" applyBorder="1" applyAlignment="1" applyProtection="1">
      <alignment horizontal="left" vertical="center" wrapText="1"/>
    </xf>
    <xf numFmtId="0" fontId="5" fillId="29" borderId="27" xfId="0" applyFont="1" applyFill="1" applyBorder="1" applyAlignment="1" applyProtection="1">
      <alignment horizontal="center" vertical="center" wrapText="1"/>
    </xf>
    <xf numFmtId="0" fontId="5" fillId="29" borderId="67" xfId="0" applyFont="1" applyFill="1" applyBorder="1" applyAlignment="1" applyProtection="1">
      <alignment horizontal="center" vertical="center" wrapText="1"/>
    </xf>
    <xf numFmtId="2" fontId="5" fillId="31" borderId="68" xfId="0" applyNumberFormat="1" applyFont="1" applyFill="1" applyBorder="1" applyAlignment="1" applyProtection="1">
      <alignment horizontal="center" vertical="center" wrapText="1"/>
      <protection locked="0"/>
    </xf>
    <xf numFmtId="0" fontId="5" fillId="29" borderId="69" xfId="0" applyFont="1" applyFill="1" applyBorder="1" applyAlignment="1" applyProtection="1">
      <alignment horizontal="center" vertical="center" wrapText="1"/>
    </xf>
    <xf numFmtId="0" fontId="5" fillId="31" borderId="0" xfId="0" applyFont="1" applyFill="1" applyBorder="1" applyAlignment="1" applyProtection="1">
      <alignment horizontal="center" vertical="center"/>
      <protection locked="0"/>
    </xf>
    <xf numFmtId="0" fontId="5" fillId="29" borderId="20" xfId="0" applyFont="1" applyFill="1" applyBorder="1" applyAlignment="1" applyProtection="1">
      <alignment horizontal="center" vertical="center"/>
    </xf>
    <xf numFmtId="0" fontId="5" fillId="29" borderId="0" xfId="0" applyFont="1" applyFill="1" applyBorder="1" applyAlignment="1" applyProtection="1">
      <alignment horizontal="left" vertical="center" wrapText="1"/>
    </xf>
    <xf numFmtId="0" fontId="37" fillId="30" borderId="22" xfId="0" applyFont="1" applyFill="1" applyBorder="1" applyAlignment="1" applyProtection="1">
      <alignment horizontal="center" vertical="center" wrapText="1"/>
    </xf>
    <xf numFmtId="3" fontId="5" fillId="32" borderId="59" xfId="0" applyNumberFormat="1" applyFont="1" applyFill="1" applyBorder="1" applyAlignment="1" applyProtection="1">
      <alignment horizontal="center" vertical="center"/>
    </xf>
    <xf numFmtId="10" fontId="5" fillId="31" borderId="58" xfId="0" applyNumberFormat="1" applyFont="1" applyFill="1" applyBorder="1" applyAlignment="1" applyProtection="1">
      <alignment horizontal="center" vertical="center"/>
      <protection locked="0"/>
    </xf>
    <xf numFmtId="0" fontId="5" fillId="29" borderId="0" xfId="0" quotePrefix="1" applyFont="1" applyFill="1" applyAlignment="1" applyProtection="1">
      <alignment horizontal="right" vertical="center"/>
    </xf>
    <xf numFmtId="0" fontId="5" fillId="29" borderId="0" xfId="0" applyFont="1" applyFill="1" applyAlignment="1" applyProtection="1">
      <alignment horizontal="right" vertical="center"/>
    </xf>
    <xf numFmtId="2" fontId="5" fillId="31" borderId="0" xfId="0" applyNumberFormat="1" applyFont="1" applyFill="1" applyBorder="1" applyAlignment="1" applyProtection="1">
      <alignment horizontal="center" vertical="center" wrapText="1"/>
      <protection locked="0"/>
    </xf>
    <xf numFmtId="4" fontId="5" fillId="31" borderId="60" xfId="0" applyNumberFormat="1" applyFont="1" applyFill="1" applyBorder="1" applyAlignment="1" applyProtection="1">
      <alignment horizontal="center" vertical="center"/>
      <protection locked="0"/>
    </xf>
    <xf numFmtId="0" fontId="5" fillId="24" borderId="0" xfId="0" applyFont="1" applyFill="1" applyAlignment="1" applyProtection="1">
      <alignment horizontal="center" vertical="center"/>
    </xf>
    <xf numFmtId="10" fontId="5" fillId="24" borderId="0" xfId="0" applyNumberFormat="1" applyFont="1" applyFill="1" applyAlignment="1" applyProtection="1">
      <alignment horizontal="center" vertical="center"/>
    </xf>
    <xf numFmtId="2" fontId="5" fillId="32" borderId="70" xfId="0" applyNumberFormat="1" applyFont="1" applyFill="1" applyBorder="1" applyAlignment="1" applyProtection="1">
      <alignment horizontal="center" vertical="center" wrapText="1"/>
    </xf>
    <xf numFmtId="2" fontId="5" fillId="31" borderId="70" xfId="0" applyNumberFormat="1" applyFont="1" applyFill="1" applyBorder="1" applyAlignment="1" applyProtection="1">
      <alignment horizontal="center" vertical="center" wrapText="1"/>
      <protection locked="0"/>
    </xf>
    <xf numFmtId="0" fontId="5" fillId="34" borderId="0" xfId="0" applyFont="1" applyFill="1" applyBorder="1" applyAlignment="1" applyProtection="1">
      <alignment vertical="center"/>
    </xf>
    <xf numFmtId="0" fontId="5" fillId="29" borderId="71" xfId="0" applyFont="1" applyFill="1" applyBorder="1" applyAlignment="1" applyProtection="1">
      <alignment horizontal="center" vertical="center" wrapText="1"/>
    </xf>
    <xf numFmtId="0" fontId="5" fillId="29" borderId="41" xfId="0" applyFont="1" applyFill="1" applyBorder="1" applyAlignment="1" applyProtection="1">
      <alignment horizontal="center" vertical="center" wrapText="1"/>
    </xf>
    <xf numFmtId="0" fontId="38" fillId="30" borderId="21" xfId="0" applyFont="1" applyFill="1" applyBorder="1" applyAlignment="1" applyProtection="1">
      <alignment horizontal="center" vertical="center" wrapText="1"/>
    </xf>
    <xf numFmtId="0" fontId="38" fillId="30" borderId="22" xfId="0" applyFont="1" applyFill="1" applyBorder="1" applyAlignment="1" applyProtection="1">
      <alignment horizontal="center" vertical="center" wrapText="1"/>
    </xf>
    <xf numFmtId="0" fontId="5" fillId="29" borderId="28" xfId="0" applyFont="1" applyFill="1" applyBorder="1" applyAlignment="1" applyProtection="1">
      <alignment horizontal="left" vertical="center" wrapText="1"/>
    </xf>
    <xf numFmtId="0" fontId="5" fillId="29" borderId="28" xfId="0" applyFont="1" applyFill="1" applyBorder="1" applyAlignment="1" applyProtection="1">
      <alignment horizontal="center" vertical="center" wrapText="1"/>
    </xf>
    <xf numFmtId="0" fontId="37" fillId="30" borderId="23" xfId="0" applyFont="1" applyFill="1" applyBorder="1" applyAlignment="1" applyProtection="1">
      <alignment horizontal="center" vertical="center" wrapText="1"/>
    </xf>
    <xf numFmtId="0" fontId="5" fillId="0" borderId="0" xfId="0" applyFont="1" applyAlignment="1">
      <alignment horizontal="left"/>
    </xf>
    <xf numFmtId="0" fontId="5" fillId="29" borderId="62" xfId="0" applyFont="1" applyFill="1" applyBorder="1" applyAlignment="1" applyProtection="1">
      <alignment horizontal="left" vertical="center" wrapText="1"/>
    </xf>
    <xf numFmtId="0" fontId="4" fillId="29" borderId="0" xfId="0" applyFont="1" applyFill="1" applyBorder="1" applyAlignment="1" applyProtection="1">
      <alignment vertical="center"/>
    </xf>
    <xf numFmtId="0" fontId="5" fillId="29" borderId="28" xfId="0" applyFont="1" applyFill="1" applyBorder="1" applyAlignment="1" applyProtection="1">
      <alignment horizontal="left" vertical="center"/>
    </xf>
    <xf numFmtId="0" fontId="5" fillId="29" borderId="41" xfId="0" applyFont="1" applyFill="1" applyBorder="1" applyAlignment="1" applyProtection="1">
      <alignment horizontal="left" vertical="center"/>
    </xf>
    <xf numFmtId="0" fontId="5" fillId="29" borderId="40" xfId="0" applyFont="1" applyFill="1" applyBorder="1" applyAlignment="1" applyProtection="1">
      <alignment horizontal="left" vertical="center" wrapText="1"/>
    </xf>
    <xf numFmtId="0" fontId="5" fillId="29" borderId="72" xfId="0" applyFont="1" applyFill="1" applyBorder="1" applyAlignment="1" applyProtection="1">
      <alignment horizontal="left" vertical="center" wrapText="1"/>
    </xf>
    <xf numFmtId="167" fontId="5" fillId="24" borderId="65" xfId="0" applyNumberFormat="1" applyFont="1" applyFill="1" applyBorder="1" applyAlignment="1" applyProtection="1">
      <alignment horizontal="center" vertical="center"/>
    </xf>
    <xf numFmtId="167" fontId="5" fillId="24" borderId="68" xfId="0" applyNumberFormat="1" applyFont="1" applyFill="1" applyBorder="1" applyAlignment="1" applyProtection="1">
      <alignment horizontal="center" vertical="center"/>
    </xf>
    <xf numFmtId="167" fontId="5" fillId="24" borderId="26" xfId="0" applyNumberFormat="1" applyFont="1" applyFill="1" applyBorder="1" applyAlignment="1" applyProtection="1">
      <alignment horizontal="center" vertical="center"/>
    </xf>
    <xf numFmtId="0" fontId="5" fillId="29" borderId="27" xfId="0" applyFont="1" applyFill="1" applyBorder="1" applyAlignment="1" applyProtection="1">
      <alignment horizontal="left" vertical="center"/>
    </xf>
    <xf numFmtId="0" fontId="5" fillId="29" borderId="67" xfId="0" applyFont="1" applyFill="1" applyBorder="1" applyAlignment="1" applyProtection="1">
      <alignment horizontal="left" vertical="center"/>
    </xf>
    <xf numFmtId="165" fontId="5" fillId="24" borderId="64" xfId="28" applyNumberFormat="1" applyFont="1" applyFill="1" applyBorder="1" applyAlignment="1" applyProtection="1">
      <alignment horizontal="center" vertical="center"/>
    </xf>
    <xf numFmtId="165" fontId="5" fillId="24" borderId="25" xfId="28" applyNumberFormat="1" applyFont="1" applyFill="1" applyBorder="1" applyAlignment="1" applyProtection="1">
      <alignment horizontal="center" vertical="center"/>
    </xf>
    <xf numFmtId="165" fontId="5" fillId="24" borderId="64" xfId="28" applyNumberFormat="1" applyFont="1" applyFill="1" applyBorder="1" applyAlignment="1" applyProtection="1">
      <alignment vertical="center"/>
    </xf>
    <xf numFmtId="165" fontId="5" fillId="24" borderId="25" xfId="28" applyNumberFormat="1" applyFont="1" applyFill="1" applyBorder="1" applyAlignment="1" applyProtection="1">
      <alignment vertical="center"/>
    </xf>
    <xf numFmtId="167" fontId="5" fillId="24" borderId="63" xfId="0" applyNumberFormat="1" applyFont="1" applyFill="1" applyBorder="1" applyAlignment="1" applyProtection="1">
      <alignment horizontal="center" vertical="center"/>
    </xf>
    <xf numFmtId="0" fontId="5" fillId="32" borderId="0" xfId="0" applyFont="1" applyFill="1" applyAlignment="1">
      <alignment horizontal="left" vertical="top" wrapText="1"/>
    </xf>
    <xf numFmtId="0" fontId="39" fillId="0" borderId="0" xfId="0" applyFont="1" applyAlignment="1" applyProtection="1">
      <alignment vertical="center"/>
    </xf>
    <xf numFmtId="0" fontId="5" fillId="31" borderId="64" xfId="0" applyFont="1" applyFill="1" applyBorder="1" applyAlignment="1" applyProtection="1">
      <alignment horizontal="center" vertical="center"/>
      <protection locked="0"/>
    </xf>
    <xf numFmtId="0" fontId="5" fillId="31" borderId="25" xfId="0" applyFont="1" applyFill="1" applyBorder="1" applyAlignment="1" applyProtection="1">
      <alignment horizontal="center" vertical="center"/>
      <protection locked="0"/>
    </xf>
    <xf numFmtId="0" fontId="5" fillId="29" borderId="67" xfId="0" applyFont="1" applyFill="1" applyBorder="1" applyAlignment="1" applyProtection="1">
      <alignment horizontal="left" vertical="center" wrapText="1"/>
    </xf>
    <xf numFmtId="2" fontId="5" fillId="24" borderId="64" xfId="0" applyNumberFormat="1" applyFont="1" applyFill="1" applyBorder="1" applyAlignment="1" applyProtection="1">
      <alignment horizontal="center" vertical="center"/>
    </xf>
    <xf numFmtId="2" fontId="5" fillId="24" borderId="25" xfId="0" applyNumberFormat="1" applyFont="1" applyFill="1" applyBorder="1" applyAlignment="1" applyProtection="1">
      <alignment horizontal="center" vertical="center"/>
    </xf>
    <xf numFmtId="0" fontId="5" fillId="24" borderId="64" xfId="0" applyFont="1" applyFill="1" applyBorder="1" applyAlignment="1" applyProtection="1">
      <alignment horizontal="center" vertical="center"/>
    </xf>
    <xf numFmtId="0" fontId="5" fillId="24" borderId="25" xfId="0" applyFont="1" applyFill="1" applyBorder="1" applyAlignment="1" applyProtection="1">
      <alignment horizontal="center" vertical="center"/>
    </xf>
    <xf numFmtId="0" fontId="37" fillId="30" borderId="21" xfId="0" applyFont="1" applyFill="1" applyBorder="1" applyAlignment="1" applyProtection="1">
      <alignment horizontal="center" vertical="center"/>
    </xf>
    <xf numFmtId="0" fontId="5" fillId="24" borderId="66" xfId="0" applyFont="1" applyFill="1" applyBorder="1" applyAlignment="1" applyProtection="1">
      <alignment horizontal="center" vertical="center"/>
    </xf>
    <xf numFmtId="0" fontId="5" fillId="29" borderId="28" xfId="0" applyFont="1" applyFill="1" applyBorder="1" applyAlignment="1" applyProtection="1">
      <alignment vertical="center" wrapText="1"/>
    </xf>
    <xf numFmtId="0" fontId="5" fillId="29" borderId="27" xfId="0" applyFont="1" applyFill="1" applyBorder="1" applyAlignment="1" applyProtection="1">
      <alignment vertical="center" wrapText="1"/>
    </xf>
    <xf numFmtId="0" fontId="5" fillId="24" borderId="0" xfId="0" applyFont="1" applyFill="1" applyBorder="1" applyAlignment="1" applyProtection="1">
      <alignment horizontal="left" vertical="center" wrapText="1"/>
    </xf>
    <xf numFmtId="0" fontId="5" fillId="24" borderId="0" xfId="0" applyFont="1" applyFill="1" applyAlignment="1" applyProtection="1">
      <alignment horizontal="left" vertical="center" wrapText="1"/>
    </xf>
    <xf numFmtId="166" fontId="5" fillId="24" borderId="64" xfId="0" applyNumberFormat="1" applyFont="1" applyFill="1" applyBorder="1" applyAlignment="1" applyProtection="1">
      <alignment horizontal="center" vertical="center"/>
    </xf>
    <xf numFmtId="166" fontId="5" fillId="24" borderId="25" xfId="0" applyNumberFormat="1" applyFont="1" applyFill="1" applyBorder="1" applyAlignment="1" applyProtection="1">
      <alignment horizontal="center" vertical="center"/>
    </xf>
    <xf numFmtId="0" fontId="5" fillId="29" borderId="27" xfId="0" applyFont="1" applyFill="1" applyBorder="1" applyAlignment="1" applyProtection="1">
      <alignment horizontal="center" vertical="center"/>
    </xf>
    <xf numFmtId="2" fontId="5" fillId="24" borderId="66" xfId="0" applyNumberFormat="1" applyFont="1" applyFill="1" applyBorder="1" applyAlignment="1" applyProtection="1">
      <alignment horizontal="center" vertical="center"/>
    </xf>
    <xf numFmtId="0" fontId="5" fillId="29" borderId="28" xfId="0" applyFont="1" applyFill="1" applyBorder="1" applyAlignment="1" applyProtection="1">
      <alignment horizontal="center" vertical="center"/>
    </xf>
    <xf numFmtId="0" fontId="37" fillId="30" borderId="73" xfId="0" applyFont="1" applyFill="1" applyBorder="1" applyAlignment="1" applyProtection="1">
      <alignment horizontal="center" vertical="center"/>
    </xf>
    <xf numFmtId="1" fontId="5" fillId="29" borderId="64" xfId="0" applyNumberFormat="1" applyFont="1" applyFill="1" applyBorder="1" applyAlignment="1" applyProtection="1">
      <alignment horizontal="center" vertical="center"/>
    </xf>
    <xf numFmtId="1" fontId="5" fillId="29" borderId="74" xfId="0" applyNumberFormat="1" applyFont="1" applyFill="1" applyBorder="1" applyAlignment="1" applyProtection="1">
      <alignment horizontal="center" vertical="center"/>
    </xf>
    <xf numFmtId="0" fontId="5" fillId="29" borderId="40" xfId="0" applyFont="1" applyFill="1" applyBorder="1" applyAlignment="1" applyProtection="1">
      <alignment horizontal="center" vertical="center" wrapText="1"/>
    </xf>
    <xf numFmtId="10" fontId="5" fillId="31" borderId="60" xfId="0" applyNumberFormat="1" applyFont="1" applyFill="1" applyBorder="1" applyAlignment="1" applyProtection="1">
      <alignment horizontal="center" vertical="center"/>
      <protection locked="0"/>
    </xf>
    <xf numFmtId="0" fontId="37" fillId="30" borderId="28" xfId="0" applyFont="1" applyFill="1" applyBorder="1" applyAlignment="1" applyProtection="1">
      <alignment horizontal="center" vertical="center"/>
    </xf>
    <xf numFmtId="0" fontId="37" fillId="30" borderId="41" xfId="0" applyFont="1" applyFill="1" applyBorder="1" applyAlignment="1" applyProtection="1">
      <alignment horizontal="center" vertical="center"/>
    </xf>
    <xf numFmtId="0" fontId="37" fillId="30" borderId="73" xfId="0" applyFont="1" applyFill="1" applyBorder="1" applyAlignment="1" applyProtection="1">
      <alignment horizontal="center" vertical="center" wrapText="1"/>
    </xf>
    <xf numFmtId="0" fontId="37" fillId="30" borderId="75" xfId="0" applyFont="1" applyFill="1" applyBorder="1" applyAlignment="1" applyProtection="1">
      <alignment horizontal="center" vertical="center" wrapText="1"/>
    </xf>
    <xf numFmtId="0" fontId="5" fillId="31" borderId="66" xfId="0" applyFont="1" applyFill="1" applyBorder="1" applyAlignment="1" applyProtection="1">
      <alignment horizontal="center" vertical="center"/>
      <protection locked="0"/>
    </xf>
    <xf numFmtId="1" fontId="5" fillId="29" borderId="76" xfId="0" applyNumberFormat="1" applyFont="1" applyFill="1" applyBorder="1" applyAlignment="1" applyProtection="1">
      <alignment horizontal="center" vertical="center"/>
    </xf>
    <xf numFmtId="1" fontId="5" fillId="29" borderId="25" xfId="0" applyNumberFormat="1" applyFont="1" applyFill="1" applyBorder="1" applyAlignment="1" applyProtection="1">
      <alignment horizontal="center" vertical="center"/>
    </xf>
    <xf numFmtId="0" fontId="5" fillId="31" borderId="60" xfId="0" applyFont="1" applyFill="1" applyBorder="1" applyAlignment="1" applyProtection="1">
      <alignment horizontal="center" vertical="center"/>
      <protection locked="0"/>
    </xf>
    <xf numFmtId="0" fontId="37" fillId="30" borderId="71" xfId="0" applyFont="1" applyFill="1" applyBorder="1" applyAlignment="1" applyProtection="1">
      <alignment horizontal="left" vertical="center"/>
    </xf>
    <xf numFmtId="0" fontId="37" fillId="30" borderId="28" xfId="0" applyFont="1" applyFill="1" applyBorder="1" applyAlignment="1" applyProtection="1">
      <alignment horizontal="left" vertical="center"/>
    </xf>
    <xf numFmtId="0" fontId="37" fillId="30" borderId="77" xfId="0" applyFont="1" applyFill="1" applyBorder="1" applyAlignment="1" applyProtection="1">
      <alignment horizontal="left" vertical="center"/>
    </xf>
    <xf numFmtId="0" fontId="37" fillId="30" borderId="40" xfId="0" applyFont="1" applyFill="1" applyBorder="1" applyAlignment="1" applyProtection="1">
      <alignment horizontal="left" vertical="center"/>
    </xf>
    <xf numFmtId="0" fontId="5" fillId="29" borderId="78" xfId="0" applyFont="1" applyFill="1" applyBorder="1" applyAlignment="1" applyProtection="1">
      <alignment horizontal="left" vertical="center"/>
    </xf>
    <xf numFmtId="0" fontId="4" fillId="29" borderId="0" xfId="0" applyFont="1" applyFill="1" applyBorder="1" applyAlignment="1" applyProtection="1">
      <alignment horizontal="left" vertical="center"/>
    </xf>
    <xf numFmtId="4" fontId="5" fillId="24" borderId="25" xfId="0" applyNumberFormat="1" applyFont="1" applyFill="1" applyBorder="1" applyAlignment="1" applyProtection="1">
      <alignment horizontal="center" vertical="center"/>
    </xf>
    <xf numFmtId="4" fontId="5" fillId="24" borderId="63" xfId="0" applyNumberFormat="1" applyFont="1" applyFill="1" applyBorder="1" applyAlignment="1" applyProtection="1">
      <alignment horizontal="center" vertical="center"/>
    </xf>
    <xf numFmtId="4" fontId="5" fillId="24" borderId="64" xfId="0" applyNumberFormat="1" applyFont="1" applyFill="1" applyBorder="1" applyAlignment="1" applyProtection="1">
      <alignment horizontal="center" vertical="center"/>
    </xf>
    <xf numFmtId="10" fontId="5" fillId="31" borderId="79" xfId="0" applyNumberFormat="1" applyFont="1" applyFill="1" applyBorder="1" applyAlignment="1" applyProtection="1">
      <alignment horizontal="center" vertical="center"/>
      <protection locked="0"/>
    </xf>
    <xf numFmtId="10" fontId="5" fillId="31" borderId="80" xfId="0" applyNumberFormat="1" applyFont="1" applyFill="1" applyBorder="1" applyAlignment="1" applyProtection="1">
      <alignment horizontal="center" vertical="center"/>
      <protection locked="0"/>
    </xf>
    <xf numFmtId="10" fontId="5" fillId="31" borderId="81" xfId="0" applyNumberFormat="1" applyFont="1" applyFill="1" applyBorder="1" applyAlignment="1" applyProtection="1">
      <alignment horizontal="center" vertical="center"/>
      <protection locked="0"/>
    </xf>
    <xf numFmtId="4" fontId="5" fillId="24" borderId="26" xfId="0" applyNumberFormat="1" applyFont="1" applyFill="1" applyBorder="1" applyAlignment="1" applyProtection="1">
      <alignment horizontal="center" vertical="center"/>
    </xf>
    <xf numFmtId="4" fontId="5" fillId="24" borderId="36" xfId="0" applyNumberFormat="1" applyFont="1" applyFill="1" applyBorder="1" applyAlignment="1" applyProtection="1">
      <alignment horizontal="center" vertical="center"/>
    </xf>
    <xf numFmtId="4" fontId="5" fillId="24" borderId="65" xfId="0" applyNumberFormat="1" applyFont="1" applyFill="1" applyBorder="1" applyAlignment="1" applyProtection="1">
      <alignment horizontal="center" vertical="center"/>
    </xf>
    <xf numFmtId="10" fontId="5" fillId="24" borderId="25" xfId="0" applyNumberFormat="1" applyFont="1" applyFill="1" applyBorder="1" applyAlignment="1" applyProtection="1">
      <alignment horizontal="center" vertical="center"/>
    </xf>
    <xf numFmtId="10" fontId="5" fillId="24" borderId="63" xfId="0" applyNumberFormat="1" applyFont="1" applyFill="1" applyBorder="1" applyAlignment="1" applyProtection="1">
      <alignment horizontal="center" vertical="center"/>
    </xf>
    <xf numFmtId="10" fontId="5" fillId="24" borderId="64" xfId="0" applyNumberFormat="1" applyFont="1" applyFill="1" applyBorder="1" applyAlignment="1" applyProtection="1">
      <alignment horizontal="center" vertical="center"/>
    </xf>
    <xf numFmtId="0" fontId="4" fillId="36" borderId="83" xfId="0" quotePrefix="1" applyNumberFormat="1" applyFont="1" applyFill="1" applyBorder="1" applyAlignment="1" applyProtection="1">
      <alignment horizontal="left" vertical="center"/>
    </xf>
    <xf numFmtId="0" fontId="41" fillId="34" borderId="83" xfId="0" applyNumberFormat="1" applyFont="1" applyFill="1" applyBorder="1" applyAlignment="1" applyProtection="1">
      <alignment horizontal="left" vertical="center" wrapText="1"/>
    </xf>
    <xf numFmtId="0" fontId="4" fillId="36" borderId="83" xfId="0" applyNumberFormat="1" applyFont="1" applyFill="1" applyBorder="1" applyAlignment="1" applyProtection="1">
      <alignment horizontal="center" vertical="center"/>
    </xf>
    <xf numFmtId="0" fontId="41" fillId="34" borderId="83" xfId="0" applyNumberFormat="1" applyFont="1" applyFill="1" applyBorder="1" applyAlignment="1" applyProtection="1">
      <alignment horizontal="left" vertical="center"/>
    </xf>
    <xf numFmtId="2" fontId="5" fillId="31" borderId="83" xfId="0" applyNumberFormat="1" applyFont="1" applyFill="1" applyBorder="1" applyAlignment="1" applyProtection="1">
      <alignment horizontal="center" vertical="center" shrinkToFit="1"/>
      <protection locked="0"/>
    </xf>
    <xf numFmtId="0" fontId="3" fillId="25" borderId="54" xfId="0" applyFont="1" applyFill="1" applyBorder="1" applyAlignment="1">
      <alignment horizontal="center" wrapText="1"/>
    </xf>
    <xf numFmtId="0" fontId="3" fillId="25" borderId="82" xfId="0" applyFont="1" applyFill="1" applyBorder="1" applyAlignment="1">
      <alignment horizontal="center" wrapText="1"/>
    </xf>
    <xf numFmtId="0" fontId="3" fillId="25" borderId="13" xfId="0" applyFont="1" applyFill="1" applyBorder="1" applyAlignment="1">
      <alignment horizontal="center" wrapText="1"/>
    </xf>
    <xf numFmtId="0" fontId="3" fillId="25" borderId="43" xfId="0" applyFont="1" applyFill="1" applyBorder="1" applyAlignment="1">
      <alignment horizontal="center" wrapText="1"/>
    </xf>
    <xf numFmtId="0" fontId="3" fillId="25" borderId="14" xfId="0" applyFont="1" applyFill="1" applyBorder="1" applyAlignment="1">
      <alignment horizontal="center" wrapText="1"/>
    </xf>
    <xf numFmtId="0" fontId="3" fillId="25" borderId="53" xfId="0" applyFont="1" applyFill="1" applyBorder="1" applyAlignment="1">
      <alignment horizontal="center" wrapText="1"/>
    </xf>
    <xf numFmtId="0" fontId="3" fillId="25" borderId="11" xfId="0" applyFont="1" applyFill="1" applyBorder="1" applyAlignment="1">
      <alignment horizontal="center" wrapText="1"/>
    </xf>
    <xf numFmtId="0" fontId="3" fillId="25" borderId="47" xfId="0" applyFont="1" applyFill="1" applyBorder="1" applyAlignment="1">
      <alignment horizontal="center" wrapText="1"/>
    </xf>
    <xf numFmtId="0" fontId="3" fillId="25" borderId="42" xfId="0" applyFont="1" applyFill="1" applyBorder="1" applyAlignment="1">
      <alignment horizontal="center" wrapText="1"/>
    </xf>
    <xf numFmtId="0" fontId="3" fillId="25" borderId="12" xfId="0" applyFont="1" applyFill="1" applyBorder="1" applyAlignment="1">
      <alignment horizontal="center" wrapText="1"/>
    </xf>
    <xf numFmtId="0" fontId="3" fillId="25" borderId="10" xfId="0" applyFont="1" applyFill="1" applyBorder="1" applyAlignment="1">
      <alignment horizontal="center" wrapText="1"/>
    </xf>
    <xf numFmtId="0" fontId="2" fillId="0" borderId="12" xfId="0" applyFont="1" applyBorder="1" applyAlignment="1">
      <alignment wrapText="1"/>
    </xf>
    <xf numFmtId="0" fontId="2" fillId="0" borderId="10" xfId="0" applyFont="1" applyBorder="1" applyAlignment="1">
      <alignment wrapText="1"/>
    </xf>
    <xf numFmtId="0" fontId="2" fillId="0" borderId="12" xfId="0" applyFont="1" applyBorder="1" applyAlignment="1">
      <alignment horizontal="center"/>
    </xf>
    <xf numFmtId="0" fontId="2" fillId="0" borderId="10" xfId="0" applyFont="1" applyBorder="1" applyAlignment="1">
      <alignment horizontal="center"/>
    </xf>
    <xf numFmtId="0" fontId="3" fillId="25" borderId="54" xfId="0" applyFont="1" applyFill="1" applyBorder="1" applyAlignment="1">
      <alignment horizontal="center" vertical="top" wrapText="1"/>
    </xf>
    <xf numFmtId="0" fontId="3" fillId="25" borderId="82" xfId="0" applyFont="1" applyFill="1" applyBorder="1" applyAlignment="1">
      <alignment horizontal="center" vertical="top" wrapText="1"/>
    </xf>
    <xf numFmtId="0" fontId="3" fillId="25" borderId="13" xfId="0" applyFont="1" applyFill="1" applyBorder="1" applyAlignment="1">
      <alignment horizontal="center" vertical="top" wrapText="1"/>
    </xf>
    <xf numFmtId="0" fontId="0" fillId="0" borderId="0" xfId="0" applyBorder="1" applyAlignment="1">
      <alignment horizontal="right" vertical="center" wrapText="1"/>
    </xf>
    <xf numFmtId="44" fontId="55" fillId="0" borderId="16" xfId="0" applyNumberFormat="1" applyFont="1" applyFill="1" applyBorder="1" applyAlignment="1">
      <alignment horizontal="right" vertical="center" wrapText="1"/>
    </xf>
    <xf numFmtId="0" fontId="0" fillId="0" borderId="0" xfId="0" applyAlignment="1">
      <alignment horizontal="left"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urrency" xfId="30" builtinId="4"/>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cellStyle name="Note" xfId="41" builtinId="10" customBuiltin="1"/>
    <cellStyle name="Output" xfId="42" builtinId="21" customBuiltin="1"/>
    <cellStyle name="Percent" xfId="43" builtinId="5"/>
    <cellStyle name="Percent 2" xfId="44"/>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80808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3"/>
  <sheetViews>
    <sheetView tabSelected="1" topLeftCell="D1" zoomScaleNormal="100" workbookViewId="0">
      <selection activeCell="F6" sqref="F6:H6"/>
    </sheetView>
  </sheetViews>
  <sheetFormatPr defaultColWidth="9.140625" defaultRowHeight="12.75"/>
  <cols>
    <col min="1" max="1" width="31.7109375" style="143" hidden="1" customWidth="1"/>
    <col min="2" max="2" width="11.28515625" style="143" hidden="1" customWidth="1"/>
    <col min="3" max="3" width="7" style="143" hidden="1" customWidth="1"/>
    <col min="4" max="4" width="45.5703125" style="142" customWidth="1"/>
    <col min="5" max="5" width="10" style="142" bestFit="1" customWidth="1"/>
    <col min="6" max="10" width="15" style="142" customWidth="1"/>
    <col min="11" max="11" width="3.5703125" style="142" customWidth="1"/>
    <col min="12" max="12" width="114.28515625" style="142" customWidth="1"/>
    <col min="13" max="13" width="2.7109375" style="142" customWidth="1"/>
    <col min="14" max="16384" width="9.140625" style="143"/>
  </cols>
  <sheetData>
    <row r="1" spans="1:14" ht="15">
      <c r="A1" s="188" t="s">
        <v>544</v>
      </c>
      <c r="B1" s="188" t="s">
        <v>545</v>
      </c>
      <c r="C1" s="189" t="s">
        <v>546</v>
      </c>
      <c r="D1" s="141" t="s">
        <v>446</v>
      </c>
      <c r="J1" s="173" t="s">
        <v>541</v>
      </c>
      <c r="N1"/>
    </row>
    <row r="2" spans="1:14" ht="15">
      <c r="A2" s="190" t="s">
        <v>547</v>
      </c>
      <c r="B2" s="190"/>
      <c r="C2" s="191">
        <f>F8</f>
        <v>41956</v>
      </c>
      <c r="D2" s="144" t="s">
        <v>447</v>
      </c>
      <c r="E2" s="145"/>
      <c r="F2" s="145"/>
      <c r="G2" s="145"/>
      <c r="H2" s="145"/>
      <c r="I2" s="145"/>
      <c r="J2" s="145"/>
      <c r="K2" s="145"/>
      <c r="L2" s="146" t="s">
        <v>448</v>
      </c>
      <c r="M2" s="145"/>
      <c r="N2" s="147"/>
    </row>
    <row r="3" spans="1:14">
      <c r="A3" s="190" t="s">
        <v>548</v>
      </c>
      <c r="B3" s="190"/>
      <c r="C3" s="192">
        <f>F10</f>
        <v>2015</v>
      </c>
      <c r="D3" s="148" t="s">
        <v>279</v>
      </c>
      <c r="E3" s="149"/>
      <c r="F3" s="288" t="str">
        <f>'SP11-1'!E12</f>
        <v>Te Ara Tawa Shared Pathway</v>
      </c>
      <c r="G3" s="288"/>
      <c r="H3" s="288"/>
      <c r="I3" s="150"/>
      <c r="J3" s="150"/>
      <c r="L3" s="151"/>
      <c r="N3"/>
    </row>
    <row r="4" spans="1:14">
      <c r="A4" s="190" t="s">
        <v>549</v>
      </c>
      <c r="B4" s="190"/>
      <c r="C4" s="192">
        <f>F12</f>
        <v>2014</v>
      </c>
      <c r="D4" s="148" t="s">
        <v>449</v>
      </c>
      <c r="E4" s="149"/>
      <c r="F4" s="288">
        <f>'SP11-1'!E13</f>
        <v>0</v>
      </c>
      <c r="G4" s="288"/>
      <c r="H4" s="288"/>
      <c r="I4" s="152"/>
      <c r="J4" s="150"/>
      <c r="L4" s="151"/>
      <c r="N4"/>
    </row>
    <row r="5" spans="1:14">
      <c r="A5" s="190" t="s">
        <v>550</v>
      </c>
      <c r="B5" s="190" t="s">
        <v>551</v>
      </c>
      <c r="C5" s="192">
        <f>F22</f>
        <v>26680</v>
      </c>
      <c r="D5" s="148"/>
      <c r="E5" s="149"/>
      <c r="F5" s="149"/>
      <c r="G5" s="149"/>
      <c r="H5" s="150"/>
      <c r="I5" s="150"/>
      <c r="J5" s="150"/>
      <c r="L5" s="153"/>
      <c r="N5"/>
    </row>
    <row r="6" spans="1:14" ht="12.75" customHeight="1">
      <c r="A6" s="190" t="s">
        <v>550</v>
      </c>
      <c r="B6" s="190" t="s">
        <v>552</v>
      </c>
      <c r="C6" s="192">
        <f>G22</f>
        <v>0</v>
      </c>
      <c r="D6" s="148" t="s">
        <v>450</v>
      </c>
      <c r="E6" s="149"/>
      <c r="F6" s="288" t="str">
        <f>'SP11-1'!C7</f>
        <v>REDACTED</v>
      </c>
      <c r="G6" s="288"/>
      <c r="H6" s="288"/>
      <c r="I6" s="150"/>
      <c r="J6" s="150"/>
      <c r="L6" s="151"/>
      <c r="N6"/>
    </row>
    <row r="7" spans="1:14" ht="12.75" customHeight="1">
      <c r="A7" s="190" t="s">
        <v>553</v>
      </c>
      <c r="B7" s="190" t="s">
        <v>551</v>
      </c>
      <c r="C7" s="192">
        <f>F23</f>
        <v>2000</v>
      </c>
      <c r="D7" s="148" t="s">
        <v>451</v>
      </c>
      <c r="E7" s="149"/>
      <c r="F7" s="288">
        <f>'SP11-1'!C8</f>
        <v>0</v>
      </c>
      <c r="G7" s="288"/>
      <c r="H7" s="288"/>
      <c r="I7" s="150"/>
      <c r="J7" s="150"/>
      <c r="L7" s="151"/>
      <c r="N7"/>
    </row>
    <row r="8" spans="1:14">
      <c r="A8" s="190" t="s">
        <v>553</v>
      </c>
      <c r="B8" s="190" t="s">
        <v>552</v>
      </c>
      <c r="C8" s="192">
        <f>G23</f>
        <v>0</v>
      </c>
      <c r="D8" s="148" t="s">
        <v>452</v>
      </c>
      <c r="E8" s="154" t="s">
        <v>453</v>
      </c>
      <c r="F8" s="155">
        <f>'SP11-1'!I30</f>
        <v>41956</v>
      </c>
      <c r="G8" s="149"/>
      <c r="H8" s="148"/>
      <c r="I8" s="156"/>
      <c r="J8" s="156"/>
      <c r="L8" s="151"/>
      <c r="N8"/>
    </row>
    <row r="9" spans="1:14">
      <c r="A9" s="190" t="s">
        <v>553</v>
      </c>
      <c r="B9" s="190" t="s">
        <v>554</v>
      </c>
      <c r="C9" s="192">
        <f>H23</f>
        <v>50</v>
      </c>
      <c r="D9" s="148"/>
      <c r="E9" s="154"/>
      <c r="F9" s="149"/>
      <c r="G9" s="149"/>
      <c r="H9" s="150"/>
      <c r="I9" s="150"/>
      <c r="J9" s="150"/>
      <c r="L9" s="153"/>
      <c r="N9"/>
    </row>
    <row r="10" spans="1:14">
      <c r="A10" s="190" t="s">
        <v>555</v>
      </c>
      <c r="B10" s="190" t="s">
        <v>551</v>
      </c>
      <c r="C10" s="192">
        <f>F24</f>
        <v>2000</v>
      </c>
      <c r="D10" s="148" t="s">
        <v>454</v>
      </c>
      <c r="E10" s="154" t="s">
        <v>525</v>
      </c>
      <c r="F10" s="157">
        <f>'SP11-1'!I25</f>
        <v>2015</v>
      </c>
      <c r="G10" s="149"/>
      <c r="H10" s="150"/>
      <c r="I10" s="150"/>
      <c r="J10" s="150"/>
      <c r="L10" s="151"/>
      <c r="N10"/>
    </row>
    <row r="11" spans="1:14">
      <c r="A11" s="190" t="s">
        <v>555</v>
      </c>
      <c r="B11" s="190" t="s">
        <v>552</v>
      </c>
      <c r="C11" s="192">
        <f>G24</f>
        <v>0</v>
      </c>
      <c r="D11" s="148" t="s">
        <v>455</v>
      </c>
      <c r="E11" s="154" t="s">
        <v>456</v>
      </c>
      <c r="F11" s="157">
        <f>'SP11-1'!I26</f>
        <v>4</v>
      </c>
      <c r="G11" s="149"/>
      <c r="H11" s="150"/>
      <c r="I11" s="150"/>
      <c r="J11" s="150"/>
      <c r="L11" s="151"/>
      <c r="N11"/>
    </row>
    <row r="12" spans="1:14">
      <c r="A12" s="190" t="s">
        <v>555</v>
      </c>
      <c r="B12" s="190" t="s">
        <v>554</v>
      </c>
      <c r="C12" s="192">
        <f>H24</f>
        <v>36</v>
      </c>
      <c r="D12" s="148" t="s">
        <v>457</v>
      </c>
      <c r="E12" s="154" t="s">
        <v>525</v>
      </c>
      <c r="F12" s="157">
        <f>'SP11-1'!I31</f>
        <v>2014</v>
      </c>
      <c r="G12" s="149"/>
      <c r="H12" s="150"/>
      <c r="I12" s="150"/>
      <c r="J12" s="150"/>
      <c r="L12" s="151"/>
      <c r="N12"/>
    </row>
    <row r="13" spans="1:14">
      <c r="A13" s="190" t="s">
        <v>556</v>
      </c>
      <c r="B13" s="190" t="s">
        <v>551</v>
      </c>
      <c r="C13" s="193">
        <f>F25</f>
        <v>0</v>
      </c>
      <c r="D13" s="148"/>
      <c r="E13" s="149"/>
      <c r="F13" s="149"/>
      <c r="G13" s="149"/>
      <c r="H13" s="158"/>
      <c r="I13" s="158"/>
      <c r="J13" s="158"/>
      <c r="L13" s="153"/>
      <c r="N13"/>
    </row>
    <row r="14" spans="1:14">
      <c r="A14" s="190" t="s">
        <v>556</v>
      </c>
      <c r="B14" s="190" t="s">
        <v>552</v>
      </c>
      <c r="C14" s="194">
        <f>G25</f>
        <v>0</v>
      </c>
      <c r="D14" s="148" t="s">
        <v>4</v>
      </c>
      <c r="E14" s="149"/>
      <c r="F14" s="288" t="str">
        <f>'SP11-1'!E18</f>
        <v>Kenepuru, Porirua</v>
      </c>
      <c r="G14" s="288"/>
      <c r="H14" s="288"/>
      <c r="I14" s="288"/>
      <c r="J14" s="288"/>
      <c r="L14" s="151"/>
      <c r="N14"/>
    </row>
    <row r="15" spans="1:14" ht="12.75" customHeight="1">
      <c r="A15" s="190" t="s">
        <v>556</v>
      </c>
      <c r="B15" s="190" t="s">
        <v>554</v>
      </c>
      <c r="C15" s="193">
        <f>H25</f>
        <v>0</v>
      </c>
      <c r="D15" s="148" t="s">
        <v>458</v>
      </c>
      <c r="E15" s="149"/>
      <c r="F15" s="288" t="str">
        <f>'SP11-1'!E15</f>
        <v>Congested Kenepuru Dr, road safety, poor walking / cycling uptake</v>
      </c>
      <c r="G15" s="288"/>
      <c r="H15" s="288"/>
      <c r="I15" s="288"/>
      <c r="J15" s="288"/>
      <c r="L15" s="151"/>
      <c r="N15"/>
    </row>
    <row r="16" spans="1:14" ht="12.75" customHeight="1">
      <c r="A16" s="190" t="s">
        <v>557</v>
      </c>
      <c r="B16" s="190" t="s">
        <v>551</v>
      </c>
      <c r="C16" s="193">
        <f>F26</f>
        <v>0</v>
      </c>
      <c r="D16" s="148" t="s">
        <v>459</v>
      </c>
      <c r="E16" s="149"/>
      <c r="F16" s="288" t="str">
        <f>'SP11-1'!E21</f>
        <v>Do Nothing - peds / cycles continue use Kenepuru Drive</v>
      </c>
      <c r="G16" s="288"/>
      <c r="H16" s="288"/>
      <c r="I16" s="288"/>
      <c r="J16" s="288"/>
      <c r="L16" s="151"/>
      <c r="N16"/>
    </row>
    <row r="17" spans="1:14" ht="12.75" customHeight="1">
      <c r="A17" s="190" t="s">
        <v>557</v>
      </c>
      <c r="B17" s="190" t="s">
        <v>552</v>
      </c>
      <c r="C17" s="194">
        <f>G26</f>
        <v>0</v>
      </c>
      <c r="D17" s="148" t="s">
        <v>460</v>
      </c>
      <c r="E17" s="149"/>
      <c r="F17" s="288"/>
      <c r="G17" s="288"/>
      <c r="H17" s="288"/>
      <c r="I17" s="288"/>
      <c r="J17" s="288"/>
      <c r="L17" s="151"/>
      <c r="N17"/>
    </row>
    <row r="18" spans="1:14" ht="12.75" customHeight="1">
      <c r="A18" s="190" t="s">
        <v>558</v>
      </c>
      <c r="B18" s="190" t="s">
        <v>551</v>
      </c>
      <c r="C18" s="193">
        <f>F27</f>
        <v>0</v>
      </c>
      <c r="D18" s="148" t="s">
        <v>461</v>
      </c>
      <c r="E18" s="149"/>
      <c r="F18" s="288" t="str">
        <f>'SP11-1'!E22</f>
        <v>Alternative path construction</v>
      </c>
      <c r="G18" s="288"/>
      <c r="H18" s="288"/>
      <c r="I18" s="288"/>
      <c r="J18" s="288"/>
      <c r="L18" s="151"/>
      <c r="N18"/>
    </row>
    <row r="19" spans="1:14" ht="12.75" customHeight="1">
      <c r="A19" s="190" t="s">
        <v>558</v>
      </c>
      <c r="B19" s="190" t="s">
        <v>552</v>
      </c>
      <c r="C19" s="194">
        <f>G27</f>
        <v>0</v>
      </c>
      <c r="D19" s="148" t="s">
        <v>462</v>
      </c>
      <c r="E19" s="149"/>
      <c r="F19" s="288" t="str">
        <f>'SP11-1'!E14</f>
        <v>Formalise an off-road path between Kenepuru Stn and Porirua CBD</v>
      </c>
      <c r="G19" s="288"/>
      <c r="H19" s="288"/>
      <c r="I19" s="288"/>
      <c r="J19" s="288"/>
      <c r="L19" s="151"/>
      <c r="N19"/>
    </row>
    <row r="20" spans="1:14">
      <c r="A20" s="190" t="s">
        <v>558</v>
      </c>
      <c r="B20" s="190" t="s">
        <v>554</v>
      </c>
      <c r="C20" s="194">
        <f>H27</f>
        <v>0</v>
      </c>
      <c r="D20" s="148"/>
      <c r="E20" s="149"/>
      <c r="F20" s="149"/>
      <c r="G20" s="149"/>
      <c r="H20" s="149"/>
      <c r="I20" s="149"/>
      <c r="L20" s="153"/>
      <c r="N20"/>
    </row>
    <row r="21" spans="1:14">
      <c r="A21" s="190" t="s">
        <v>559</v>
      </c>
      <c r="B21" s="190" t="s">
        <v>551</v>
      </c>
      <c r="C21" s="193">
        <f>F28</f>
        <v>0</v>
      </c>
      <c r="D21" s="159" t="s">
        <v>463</v>
      </c>
      <c r="E21" s="149"/>
      <c r="F21" s="160" t="s">
        <v>464</v>
      </c>
      <c r="G21" s="160" t="s">
        <v>526</v>
      </c>
      <c r="H21" s="160" t="s">
        <v>465</v>
      </c>
      <c r="I21" s="149"/>
      <c r="L21" s="153"/>
      <c r="N21"/>
    </row>
    <row r="22" spans="1:14">
      <c r="A22" s="190" t="s">
        <v>559</v>
      </c>
      <c r="B22" s="190" t="s">
        <v>552</v>
      </c>
      <c r="C22" s="194">
        <f>G28</f>
        <v>0</v>
      </c>
      <c r="D22" s="148" t="s">
        <v>466</v>
      </c>
      <c r="E22" s="154" t="s">
        <v>195</v>
      </c>
      <c r="F22" s="170">
        <f>'SP11-1'!I37</f>
        <v>26680</v>
      </c>
      <c r="G22" s="171">
        <v>0</v>
      </c>
      <c r="H22" s="149"/>
      <c r="I22" s="149"/>
      <c r="L22" s="151"/>
      <c r="N22"/>
    </row>
    <row r="23" spans="1:14">
      <c r="A23" s="190" t="s">
        <v>560</v>
      </c>
      <c r="B23" s="195"/>
      <c r="C23" s="196">
        <f>F29</f>
        <v>0</v>
      </c>
      <c r="D23" s="148" t="s">
        <v>467</v>
      </c>
      <c r="E23" s="154" t="s">
        <v>468</v>
      </c>
      <c r="F23" s="170">
        <f>IF(H23=0,0,'SP11-1'!I35)</f>
        <v>2000</v>
      </c>
      <c r="G23" s="171">
        <f>'SP11-5'!I8</f>
        <v>0</v>
      </c>
      <c r="H23" s="170">
        <f>'SP11-5'!E11</f>
        <v>50</v>
      </c>
      <c r="I23" s="149"/>
      <c r="L23" s="151"/>
      <c r="N23"/>
    </row>
    <row r="24" spans="1:14">
      <c r="A24" s="190" t="s">
        <v>561</v>
      </c>
      <c r="B24" s="190"/>
      <c r="C24" s="192">
        <f>F30</f>
        <v>0</v>
      </c>
      <c r="D24" s="148" t="s">
        <v>469</v>
      </c>
      <c r="E24" s="154" t="s">
        <v>468</v>
      </c>
      <c r="F24" s="170">
        <f>IF(H24=0,0,'SP11-1'!I35)</f>
        <v>2000</v>
      </c>
      <c r="G24" s="171">
        <f>'SP11-5'!I20</f>
        <v>0</v>
      </c>
      <c r="H24" s="170">
        <f>'SP11-5'!E23</f>
        <v>36</v>
      </c>
      <c r="I24" s="149"/>
      <c r="K24" s="161"/>
      <c r="L24" s="151"/>
      <c r="N24"/>
    </row>
    <row r="25" spans="1:14">
      <c r="A25" s="190" t="s">
        <v>562</v>
      </c>
      <c r="B25" s="190" t="s">
        <v>563</v>
      </c>
      <c r="C25" s="191">
        <f>F33</f>
        <v>0</v>
      </c>
      <c r="D25" s="148" t="s">
        <v>472</v>
      </c>
      <c r="E25" s="154" t="s">
        <v>468</v>
      </c>
      <c r="F25" s="170">
        <v>0</v>
      </c>
      <c r="G25" s="171">
        <v>0</v>
      </c>
      <c r="H25" s="170">
        <v>0</v>
      </c>
      <c r="I25" s="149"/>
      <c r="L25" s="151"/>
      <c r="N25"/>
    </row>
    <row r="26" spans="1:14">
      <c r="A26" s="190" t="s">
        <v>562</v>
      </c>
      <c r="B26" s="190" t="s">
        <v>564</v>
      </c>
      <c r="C26" s="191">
        <f>G33</f>
        <v>0</v>
      </c>
      <c r="D26" s="148" t="s">
        <v>471</v>
      </c>
      <c r="E26" s="154" t="s">
        <v>468</v>
      </c>
      <c r="F26" s="170">
        <v>0</v>
      </c>
      <c r="G26" s="171">
        <v>0</v>
      </c>
      <c r="I26" s="149"/>
      <c r="L26" s="151"/>
      <c r="N26"/>
    </row>
    <row r="27" spans="1:14">
      <c r="A27" s="190" t="s">
        <v>565</v>
      </c>
      <c r="B27" s="190" t="s">
        <v>563</v>
      </c>
      <c r="C27" s="191">
        <f>F34</f>
        <v>0</v>
      </c>
      <c r="D27" s="148" t="s">
        <v>473</v>
      </c>
      <c r="E27" s="154" t="s">
        <v>474</v>
      </c>
      <c r="F27" s="170">
        <v>0</v>
      </c>
      <c r="G27" s="171">
        <v>0</v>
      </c>
      <c r="H27" s="170">
        <v>0</v>
      </c>
      <c r="I27" s="149"/>
      <c r="L27" s="151"/>
      <c r="N27"/>
    </row>
    <row r="28" spans="1:14">
      <c r="A28" s="190" t="s">
        <v>565</v>
      </c>
      <c r="B28" s="190" t="s">
        <v>564</v>
      </c>
      <c r="C28" s="191">
        <f>G34</f>
        <v>0</v>
      </c>
      <c r="D28" s="148" t="s">
        <v>470</v>
      </c>
      <c r="E28" s="154" t="s">
        <v>195</v>
      </c>
      <c r="F28" s="170">
        <v>0</v>
      </c>
      <c r="G28" s="171">
        <v>0</v>
      </c>
      <c r="H28" s="149"/>
      <c r="I28" s="149"/>
      <c r="L28" s="151"/>
      <c r="N28"/>
    </row>
    <row r="29" spans="1:14">
      <c r="A29" s="190" t="s">
        <v>566</v>
      </c>
      <c r="B29" s="190" t="s">
        <v>563</v>
      </c>
      <c r="C29" s="191">
        <f>F35</f>
        <v>0</v>
      </c>
      <c r="D29" s="148" t="s">
        <v>470</v>
      </c>
      <c r="E29" s="154" t="s">
        <v>21</v>
      </c>
      <c r="F29" s="172">
        <v>0</v>
      </c>
      <c r="G29" s="149"/>
      <c r="H29" s="149"/>
      <c r="I29" s="149"/>
      <c r="L29" s="151"/>
      <c r="N29"/>
    </row>
    <row r="30" spans="1:14">
      <c r="A30" s="190" t="s">
        <v>566</v>
      </c>
      <c r="B30" s="190" t="s">
        <v>564</v>
      </c>
      <c r="C30" s="191">
        <f>G35</f>
        <v>0</v>
      </c>
      <c r="D30" s="148" t="s">
        <v>475</v>
      </c>
      <c r="E30" s="149"/>
      <c r="F30" s="162">
        <f>'SP11-4'!N7</f>
        <v>0</v>
      </c>
      <c r="G30" s="148"/>
      <c r="H30" s="148"/>
      <c r="I30" s="149"/>
      <c r="L30" s="151"/>
      <c r="N30"/>
    </row>
    <row r="31" spans="1:14">
      <c r="A31" s="190" t="s">
        <v>567</v>
      </c>
      <c r="B31" s="190" t="s">
        <v>563</v>
      </c>
      <c r="C31" s="194">
        <f>F36</f>
        <v>1.4</v>
      </c>
      <c r="D31" s="148"/>
      <c r="E31" s="149"/>
      <c r="F31" s="149"/>
      <c r="G31" s="149"/>
      <c r="H31" s="149"/>
      <c r="I31" s="149"/>
      <c r="L31" s="153"/>
      <c r="N31"/>
    </row>
    <row r="32" spans="1:14">
      <c r="A32" s="190" t="s">
        <v>567</v>
      </c>
      <c r="B32" s="190" t="s">
        <v>564</v>
      </c>
      <c r="C32" s="194">
        <f>G36</f>
        <v>1.4</v>
      </c>
      <c r="D32" s="148"/>
      <c r="E32" s="149"/>
      <c r="F32" s="160" t="s">
        <v>476</v>
      </c>
      <c r="G32" s="160" t="s">
        <v>477</v>
      </c>
      <c r="H32" s="149"/>
      <c r="I32" s="149"/>
      <c r="L32" s="153"/>
      <c r="N32"/>
    </row>
    <row r="33" spans="1:14">
      <c r="A33" s="190" t="s">
        <v>568</v>
      </c>
      <c r="B33" s="190" t="s">
        <v>563</v>
      </c>
      <c r="C33" s="194">
        <f>F37</f>
        <v>0</v>
      </c>
      <c r="D33" s="148" t="s">
        <v>478</v>
      </c>
      <c r="E33" s="154" t="s">
        <v>479</v>
      </c>
      <c r="F33" s="157">
        <v>0</v>
      </c>
      <c r="G33" s="157">
        <v>0</v>
      </c>
      <c r="H33" s="149"/>
      <c r="I33" s="149"/>
      <c r="L33" s="151"/>
      <c r="N33"/>
    </row>
    <row r="34" spans="1:14">
      <c r="A34" s="190" t="s">
        <v>568</v>
      </c>
      <c r="B34" s="190" t="s">
        <v>564</v>
      </c>
      <c r="C34" s="194">
        <f>G37</f>
        <v>0</v>
      </c>
      <c r="D34" s="148" t="s">
        <v>480</v>
      </c>
      <c r="E34" s="154" t="s">
        <v>14</v>
      </c>
      <c r="F34" s="157">
        <f>'SP11-6'!E9</f>
        <v>0</v>
      </c>
      <c r="G34" s="157">
        <v>0</v>
      </c>
      <c r="H34" s="149"/>
      <c r="I34" s="149"/>
      <c r="L34" s="151"/>
      <c r="N34"/>
    </row>
    <row r="35" spans="1:14">
      <c r="A35" s="190" t="s">
        <v>569</v>
      </c>
      <c r="B35" s="190" t="s">
        <v>563</v>
      </c>
      <c r="C35" s="191">
        <f>F38</f>
        <v>0</v>
      </c>
      <c r="D35" s="148" t="s">
        <v>481</v>
      </c>
      <c r="E35" s="154" t="s">
        <v>14</v>
      </c>
      <c r="F35" s="157">
        <f>'SP11-6'!E8</f>
        <v>0</v>
      </c>
      <c r="G35" s="157">
        <f>'SP11-6'!E10</f>
        <v>0</v>
      </c>
      <c r="H35" s="149"/>
      <c r="I35" s="149"/>
      <c r="L35" s="151"/>
      <c r="N35"/>
    </row>
    <row r="36" spans="1:14">
      <c r="A36" s="190" t="s">
        <v>569</v>
      </c>
      <c r="B36" s="190" t="s">
        <v>564</v>
      </c>
      <c r="C36" s="191">
        <f>G38</f>
        <v>0</v>
      </c>
      <c r="D36" s="148" t="s">
        <v>482</v>
      </c>
      <c r="E36" s="154" t="s">
        <v>15</v>
      </c>
      <c r="F36" s="163">
        <f>'SP11-1'!I43</f>
        <v>1.4</v>
      </c>
      <c r="G36" s="163">
        <f>'SP11-1'!I42</f>
        <v>1.4</v>
      </c>
      <c r="H36" s="149"/>
      <c r="I36" s="149"/>
      <c r="L36" s="151"/>
      <c r="N36"/>
    </row>
    <row r="37" spans="1:14">
      <c r="A37" s="190" t="s">
        <v>570</v>
      </c>
      <c r="B37" s="190" t="s">
        <v>571</v>
      </c>
      <c r="C37" s="197">
        <f>F41</f>
        <v>0</v>
      </c>
      <c r="D37" s="148" t="s">
        <v>483</v>
      </c>
      <c r="E37" s="154" t="s">
        <v>484</v>
      </c>
      <c r="F37" s="163">
        <v>0</v>
      </c>
      <c r="G37" s="163">
        <v>0</v>
      </c>
      <c r="H37" s="149"/>
      <c r="I37" s="149"/>
      <c r="L37" s="151"/>
      <c r="N37"/>
    </row>
    <row r="38" spans="1:14">
      <c r="A38" s="190" t="s">
        <v>570</v>
      </c>
      <c r="B38" s="190" t="s">
        <v>572</v>
      </c>
      <c r="C38" s="197">
        <f>G41</f>
        <v>0</v>
      </c>
      <c r="D38" s="148" t="s">
        <v>485</v>
      </c>
      <c r="E38" s="154" t="s">
        <v>486</v>
      </c>
      <c r="F38" s="157">
        <v>0</v>
      </c>
      <c r="G38" s="157">
        <v>0</v>
      </c>
      <c r="H38" s="149"/>
      <c r="I38" s="149"/>
      <c r="L38" s="151"/>
      <c r="N38"/>
    </row>
    <row r="39" spans="1:14">
      <c r="A39" s="190" t="s">
        <v>573</v>
      </c>
      <c r="B39" s="190" t="s">
        <v>571</v>
      </c>
      <c r="C39" s="197">
        <f>H41</f>
        <v>0</v>
      </c>
      <c r="D39" s="148"/>
      <c r="E39" s="149"/>
      <c r="F39" s="149"/>
      <c r="G39" s="149"/>
      <c r="H39" s="149"/>
      <c r="I39" s="149"/>
      <c r="L39" s="153"/>
      <c r="N39"/>
    </row>
    <row r="40" spans="1:14">
      <c r="A40" s="190" t="s">
        <v>573</v>
      </c>
      <c r="B40" s="190" t="s">
        <v>572</v>
      </c>
      <c r="C40" s="197">
        <f>I41</f>
        <v>0</v>
      </c>
      <c r="D40" s="148"/>
      <c r="E40" s="149"/>
      <c r="F40" s="160" t="s">
        <v>527</v>
      </c>
      <c r="G40" s="160" t="s">
        <v>528</v>
      </c>
      <c r="H40" s="160" t="s">
        <v>529</v>
      </c>
      <c r="I40" s="160" t="s">
        <v>530</v>
      </c>
      <c r="L40" s="153"/>
      <c r="N40"/>
    </row>
    <row r="41" spans="1:14">
      <c r="A41" s="190" t="s">
        <v>574</v>
      </c>
      <c r="B41" s="190"/>
      <c r="C41" s="192">
        <f>F42</f>
        <v>0</v>
      </c>
      <c r="D41" s="148" t="s">
        <v>531</v>
      </c>
      <c r="E41" s="149"/>
      <c r="F41" s="165"/>
      <c r="G41" s="165"/>
      <c r="H41" s="165"/>
      <c r="I41" s="165"/>
      <c r="L41" s="153"/>
      <c r="N41"/>
    </row>
    <row r="42" spans="1:14">
      <c r="A42" s="190" t="s">
        <v>575</v>
      </c>
      <c r="B42" s="190" t="s">
        <v>576</v>
      </c>
      <c r="C42" s="198">
        <f>F47</f>
        <v>0</v>
      </c>
      <c r="D42" s="148" t="s">
        <v>487</v>
      </c>
      <c r="E42" s="154" t="s">
        <v>488</v>
      </c>
      <c r="F42" s="164">
        <v>0</v>
      </c>
      <c r="G42" s="149"/>
      <c r="H42" s="149"/>
      <c r="I42" s="149"/>
      <c r="L42" s="151"/>
      <c r="N42"/>
    </row>
    <row r="43" spans="1:14">
      <c r="A43" s="190" t="s">
        <v>575</v>
      </c>
      <c r="B43" s="190" t="s">
        <v>577</v>
      </c>
      <c r="C43" s="198">
        <f>G47</f>
        <v>0</v>
      </c>
      <c r="D43" s="148"/>
      <c r="E43" s="166"/>
      <c r="F43" s="148"/>
      <c r="G43" s="148"/>
      <c r="H43" s="148"/>
      <c r="I43" s="149"/>
      <c r="L43" s="153"/>
      <c r="N43"/>
    </row>
    <row r="44" spans="1:14">
      <c r="A44" s="190" t="s">
        <v>575</v>
      </c>
      <c r="B44" s="190" t="s">
        <v>578</v>
      </c>
      <c r="C44" s="198">
        <f>H47</f>
        <v>0</v>
      </c>
      <c r="D44" s="148" t="s">
        <v>489</v>
      </c>
      <c r="E44" s="154" t="s">
        <v>490</v>
      </c>
      <c r="F44" s="164"/>
      <c r="G44" s="164"/>
      <c r="H44" s="148"/>
      <c r="I44" s="149"/>
      <c r="L44" s="151"/>
      <c r="N44"/>
    </row>
    <row r="45" spans="1:14">
      <c r="A45" s="190" t="s">
        <v>575</v>
      </c>
      <c r="B45" s="190" t="s">
        <v>579</v>
      </c>
      <c r="C45" s="198">
        <f>I47</f>
        <v>0</v>
      </c>
      <c r="D45" s="148"/>
      <c r="E45" s="149"/>
      <c r="F45" s="148"/>
      <c r="G45" s="148"/>
      <c r="H45" s="148"/>
      <c r="I45" s="149"/>
      <c r="L45" s="153"/>
      <c r="N45"/>
    </row>
    <row r="46" spans="1:14">
      <c r="A46" s="190" t="s">
        <v>580</v>
      </c>
      <c r="B46" s="190" t="s">
        <v>576</v>
      </c>
      <c r="C46" s="198" t="str">
        <f>F48</f>
        <v/>
      </c>
      <c r="D46" s="148"/>
      <c r="E46" s="149"/>
      <c r="F46" s="160" t="s">
        <v>34</v>
      </c>
      <c r="G46" s="160" t="s">
        <v>35</v>
      </c>
      <c r="H46" s="159" t="s">
        <v>36</v>
      </c>
      <c r="I46" s="160" t="s">
        <v>491</v>
      </c>
      <c r="L46" s="153"/>
      <c r="N46"/>
    </row>
    <row r="47" spans="1:14">
      <c r="A47" s="190" t="s">
        <v>580</v>
      </c>
      <c r="B47" s="190" t="s">
        <v>577</v>
      </c>
      <c r="C47" s="198" t="str">
        <f>G48</f>
        <v/>
      </c>
      <c r="D47" s="148" t="s">
        <v>532</v>
      </c>
      <c r="E47" s="149"/>
      <c r="F47" s="167">
        <f>'SP11-6'!J15</f>
        <v>0</v>
      </c>
      <c r="G47" s="167">
        <f>'SP11-6'!L15</f>
        <v>0</v>
      </c>
      <c r="H47" s="167">
        <f>'SP11-6'!N15</f>
        <v>0</v>
      </c>
      <c r="I47" s="167">
        <f>'SP11-6'!P15</f>
        <v>0</v>
      </c>
      <c r="L47" s="151"/>
      <c r="N47"/>
    </row>
    <row r="48" spans="1:14">
      <c r="A48" s="190" t="s">
        <v>580</v>
      </c>
      <c r="B48" s="190" t="s">
        <v>578</v>
      </c>
      <c r="C48" s="198" t="str">
        <f>H48</f>
        <v/>
      </c>
      <c r="D48" s="148" t="s">
        <v>492</v>
      </c>
      <c r="E48" s="149"/>
      <c r="F48" s="167" t="str">
        <f>'SP11-6'!J22</f>
        <v/>
      </c>
      <c r="G48" s="167" t="str">
        <f>'SP11-6'!L22</f>
        <v/>
      </c>
      <c r="H48" s="167" t="str">
        <f>'SP11-6'!N22</f>
        <v/>
      </c>
      <c r="I48" s="167" t="str">
        <f>'SP11-6'!P22</f>
        <v/>
      </c>
      <c r="L48" s="151"/>
      <c r="N48"/>
    </row>
    <row r="49" spans="1:14">
      <c r="A49" s="190" t="s">
        <v>580</v>
      </c>
      <c r="B49" s="190" t="s">
        <v>579</v>
      </c>
      <c r="C49" s="198" t="str">
        <f>I48</f>
        <v/>
      </c>
      <c r="D49" s="148" t="s">
        <v>493</v>
      </c>
      <c r="E49" s="149"/>
      <c r="F49" s="167" t="str">
        <f>'SP11-6'!J32</f>
        <v/>
      </c>
      <c r="G49" s="167" t="str">
        <f>'SP11-6'!L32</f>
        <v/>
      </c>
      <c r="H49" s="167" t="str">
        <f>'SP11-6'!N32</f>
        <v/>
      </c>
      <c r="I49" s="167" t="str">
        <f>'SP11-6'!P32</f>
        <v/>
      </c>
      <c r="L49" s="151"/>
      <c r="N49"/>
    </row>
    <row r="50" spans="1:14">
      <c r="A50" s="190" t="s">
        <v>581</v>
      </c>
      <c r="B50" s="190" t="s">
        <v>576</v>
      </c>
      <c r="C50" s="198" t="str">
        <f>F49</f>
        <v/>
      </c>
      <c r="D50" s="148"/>
      <c r="E50" s="149"/>
      <c r="F50" s="149"/>
      <c r="G50" s="149"/>
      <c r="H50" s="149"/>
      <c r="I50" s="149"/>
      <c r="L50" s="153"/>
      <c r="N50"/>
    </row>
    <row r="51" spans="1:14">
      <c r="A51" s="190" t="s">
        <v>581</v>
      </c>
      <c r="B51" s="190" t="s">
        <v>577</v>
      </c>
      <c r="C51" s="198" t="str">
        <f>G49</f>
        <v/>
      </c>
      <c r="D51" s="148" t="s">
        <v>494</v>
      </c>
      <c r="E51" s="154" t="s">
        <v>495</v>
      </c>
      <c r="F51" s="168">
        <v>0</v>
      </c>
      <c r="G51" s="149"/>
      <c r="H51" s="149"/>
      <c r="I51" s="149"/>
      <c r="L51" s="151"/>
      <c r="N51"/>
    </row>
    <row r="52" spans="1:14">
      <c r="A52" s="190" t="s">
        <v>581</v>
      </c>
      <c r="B52" s="190" t="s">
        <v>578</v>
      </c>
      <c r="C52" s="198" t="str">
        <f>H49</f>
        <v/>
      </c>
      <c r="D52" s="148" t="s">
        <v>533</v>
      </c>
      <c r="E52" s="154" t="s">
        <v>534</v>
      </c>
      <c r="F52" s="168">
        <v>0</v>
      </c>
      <c r="G52" s="149"/>
      <c r="H52" s="149"/>
      <c r="I52" s="149"/>
      <c r="L52" s="151"/>
      <c r="N52"/>
    </row>
    <row r="53" spans="1:14">
      <c r="A53" s="190" t="s">
        <v>581</v>
      </c>
      <c r="B53" s="190" t="s">
        <v>579</v>
      </c>
      <c r="C53" s="198" t="str">
        <f>I49</f>
        <v/>
      </c>
      <c r="D53" s="148" t="s">
        <v>496</v>
      </c>
      <c r="E53" s="154" t="s">
        <v>486</v>
      </c>
      <c r="F53" s="168">
        <v>0</v>
      </c>
      <c r="G53" s="149"/>
      <c r="H53" s="149"/>
      <c r="I53" s="149"/>
      <c r="L53" s="151"/>
      <c r="N53"/>
    </row>
    <row r="54" spans="1:14">
      <c r="A54" s="190" t="s">
        <v>582</v>
      </c>
      <c r="B54" s="190"/>
      <c r="C54" s="199">
        <f>F51</f>
        <v>0</v>
      </c>
      <c r="D54" s="148"/>
      <c r="E54" s="154"/>
      <c r="F54" s="149"/>
      <c r="G54" s="149"/>
      <c r="H54" s="149"/>
      <c r="I54" s="149"/>
      <c r="L54" s="153"/>
      <c r="N54"/>
    </row>
    <row r="55" spans="1:14">
      <c r="A55" s="190" t="s">
        <v>583</v>
      </c>
      <c r="B55" s="190"/>
      <c r="C55" s="199">
        <f>F52</f>
        <v>0</v>
      </c>
      <c r="D55" s="159" t="s">
        <v>497</v>
      </c>
      <c r="E55" s="154"/>
      <c r="F55" s="160" t="s">
        <v>498</v>
      </c>
      <c r="G55" s="160" t="s">
        <v>499</v>
      </c>
      <c r="H55" s="149"/>
      <c r="I55" s="149"/>
      <c r="L55" s="153"/>
      <c r="N55"/>
    </row>
    <row r="56" spans="1:14">
      <c r="A56" s="190" t="s">
        <v>584</v>
      </c>
      <c r="B56" s="190"/>
      <c r="C56" s="199">
        <f>F53</f>
        <v>0</v>
      </c>
      <c r="D56" s="148" t="s">
        <v>535</v>
      </c>
      <c r="E56" s="154" t="s">
        <v>16</v>
      </c>
      <c r="F56" s="168">
        <v>0</v>
      </c>
      <c r="G56" s="168">
        <f>'SP11-3 (1)'!K8</f>
        <v>524740</v>
      </c>
      <c r="H56" s="149"/>
      <c r="I56" s="149"/>
      <c r="L56" s="151"/>
      <c r="N56"/>
    </row>
    <row r="57" spans="1:14">
      <c r="A57" s="190" t="s">
        <v>585</v>
      </c>
      <c r="B57" s="190" t="s">
        <v>586</v>
      </c>
      <c r="C57" s="199">
        <f>F56</f>
        <v>0</v>
      </c>
      <c r="D57" s="148"/>
      <c r="E57" s="148"/>
      <c r="F57" s="148"/>
      <c r="G57" s="148"/>
      <c r="H57" s="148"/>
      <c r="I57" s="148"/>
      <c r="L57" s="151"/>
      <c r="N57"/>
    </row>
    <row r="58" spans="1:14">
      <c r="A58" s="190" t="s">
        <v>585</v>
      </c>
      <c r="B58" s="190" t="s">
        <v>587</v>
      </c>
      <c r="C58" s="199">
        <f>G56</f>
        <v>524740</v>
      </c>
      <c r="D58" s="148" t="s">
        <v>536</v>
      </c>
      <c r="E58" s="154" t="s">
        <v>16</v>
      </c>
      <c r="F58" s="168">
        <v>0</v>
      </c>
      <c r="G58" s="168">
        <f>'SP11-3 (1)'!Q8</f>
        <v>493255.6</v>
      </c>
      <c r="H58" s="148"/>
      <c r="I58" s="148"/>
      <c r="L58" s="151"/>
      <c r="N58"/>
    </row>
    <row r="59" spans="1:14">
      <c r="A59" s="190" t="s">
        <v>588</v>
      </c>
      <c r="B59" s="190" t="s">
        <v>586</v>
      </c>
      <c r="C59" s="199">
        <f>F58</f>
        <v>0</v>
      </c>
      <c r="D59" s="148" t="s">
        <v>537</v>
      </c>
      <c r="E59" s="154" t="s">
        <v>16</v>
      </c>
      <c r="F59" s="168">
        <f>'SP11-1'!M45</f>
        <v>0</v>
      </c>
      <c r="G59" s="168">
        <f>'SP11-3 (1)'!Q11+'SP11-3 (1)'!Q15+'SP11-3 (1)'!Q30+'SP11-3 (1)'!Q33</f>
        <v>35574</v>
      </c>
      <c r="H59" s="149"/>
      <c r="I59" s="149"/>
      <c r="L59" s="151"/>
      <c r="N59"/>
    </row>
    <row r="60" spans="1:14">
      <c r="A60" s="190" t="s">
        <v>588</v>
      </c>
      <c r="B60" s="190" t="s">
        <v>587</v>
      </c>
      <c r="C60" s="199">
        <f>G58</f>
        <v>493255.6</v>
      </c>
      <c r="D60" s="148" t="s">
        <v>500</v>
      </c>
      <c r="E60" s="154" t="s">
        <v>16</v>
      </c>
      <c r="F60" s="168">
        <f>'SP11-1'!M47</f>
        <v>0</v>
      </c>
      <c r="G60" s="168">
        <f>'SP11-1'!M50</f>
        <v>528829.6</v>
      </c>
      <c r="H60" s="149"/>
      <c r="I60" s="149"/>
      <c r="L60" s="151"/>
      <c r="N60"/>
    </row>
    <row r="61" spans="1:14">
      <c r="A61" s="190" t="s">
        <v>589</v>
      </c>
      <c r="B61" s="190" t="s">
        <v>586</v>
      </c>
      <c r="C61" s="199">
        <f>F59</f>
        <v>0</v>
      </c>
      <c r="D61" s="148"/>
      <c r="E61" s="154"/>
      <c r="F61" s="149"/>
      <c r="G61" s="149"/>
      <c r="H61" s="149"/>
      <c r="I61" s="149"/>
      <c r="L61" s="153"/>
      <c r="N61"/>
    </row>
    <row r="62" spans="1:14">
      <c r="A62" s="190" t="s">
        <v>589</v>
      </c>
      <c r="B62" s="190" t="s">
        <v>587</v>
      </c>
      <c r="C62" s="199">
        <f>G59</f>
        <v>35574</v>
      </c>
      <c r="D62" s="174" t="s">
        <v>542</v>
      </c>
      <c r="E62" s="154" t="s">
        <v>16</v>
      </c>
      <c r="F62" s="168">
        <v>0</v>
      </c>
      <c r="G62" s="149"/>
      <c r="H62" s="149"/>
      <c r="I62" s="149"/>
      <c r="L62" s="151"/>
      <c r="N62"/>
    </row>
    <row r="63" spans="1:14">
      <c r="A63" s="190" t="s">
        <v>590</v>
      </c>
      <c r="B63" s="190" t="s">
        <v>586</v>
      </c>
      <c r="C63" s="199">
        <f>F60</f>
        <v>0</v>
      </c>
      <c r="D63" s="174" t="s">
        <v>538</v>
      </c>
      <c r="E63" s="154" t="s">
        <v>16</v>
      </c>
      <c r="F63" s="168">
        <v>0</v>
      </c>
      <c r="G63" s="149"/>
      <c r="H63" s="149"/>
      <c r="I63" s="149"/>
      <c r="L63" s="151"/>
      <c r="N63"/>
    </row>
    <row r="64" spans="1:14">
      <c r="A64" s="190" t="s">
        <v>590</v>
      </c>
      <c r="B64" s="190" t="s">
        <v>587</v>
      </c>
      <c r="C64" s="199">
        <f>G60</f>
        <v>528829.6</v>
      </c>
      <c r="D64" s="148"/>
      <c r="E64" s="154"/>
      <c r="F64" s="149"/>
      <c r="G64" s="149"/>
      <c r="H64" s="149"/>
      <c r="I64" s="149"/>
      <c r="L64" s="153"/>
      <c r="N64"/>
    </row>
    <row r="65" spans="1:14">
      <c r="A65" s="190" t="s">
        <v>591</v>
      </c>
      <c r="B65" s="190"/>
      <c r="C65" s="199">
        <f>F62</f>
        <v>0</v>
      </c>
      <c r="D65" s="159" t="s">
        <v>501</v>
      </c>
      <c r="E65" s="154"/>
      <c r="F65" s="149"/>
      <c r="G65" s="149"/>
      <c r="H65" s="149"/>
      <c r="I65" s="149"/>
      <c r="L65" s="153"/>
      <c r="N65"/>
    </row>
    <row r="66" spans="1:14">
      <c r="A66" s="190" t="s">
        <v>592</v>
      </c>
      <c r="B66" s="190"/>
      <c r="C66" s="199">
        <f>F63</f>
        <v>0</v>
      </c>
      <c r="D66" s="148" t="s">
        <v>502</v>
      </c>
      <c r="E66" s="154" t="s">
        <v>16</v>
      </c>
      <c r="F66" s="168">
        <f>'SP11-1'!M54</f>
        <v>0</v>
      </c>
      <c r="G66" s="149"/>
      <c r="H66" s="149"/>
      <c r="I66" s="149"/>
      <c r="L66" s="151"/>
      <c r="N66"/>
    </row>
    <row r="67" spans="1:14">
      <c r="A67" s="190" t="s">
        <v>593</v>
      </c>
      <c r="B67" s="190"/>
      <c r="C67" s="199">
        <f>F66</f>
        <v>0</v>
      </c>
      <c r="D67" s="148" t="s">
        <v>503</v>
      </c>
      <c r="E67" s="154" t="s">
        <v>16</v>
      </c>
      <c r="F67" s="168">
        <v>0</v>
      </c>
      <c r="G67" s="149"/>
      <c r="H67" s="149"/>
      <c r="I67" s="149"/>
      <c r="L67" s="151"/>
      <c r="N67"/>
    </row>
    <row r="68" spans="1:14">
      <c r="A68" s="190" t="s">
        <v>594</v>
      </c>
      <c r="B68" s="190"/>
      <c r="C68" s="199">
        <f t="shared" ref="C68:C85" si="0">F67</f>
        <v>0</v>
      </c>
      <c r="D68" s="148" t="s">
        <v>620</v>
      </c>
      <c r="E68" s="154" t="s">
        <v>16</v>
      </c>
      <c r="F68" s="168">
        <f>'SP11-1'!M56</f>
        <v>60203.978600143513</v>
      </c>
      <c r="G68" s="149"/>
      <c r="H68" s="149"/>
      <c r="I68" s="149"/>
      <c r="L68" s="151"/>
      <c r="N68"/>
    </row>
    <row r="69" spans="1:14">
      <c r="A69" s="190" t="s">
        <v>595</v>
      </c>
      <c r="B69" s="190"/>
      <c r="C69" s="199">
        <f t="shared" si="0"/>
        <v>60203.978600143513</v>
      </c>
      <c r="D69" s="148" t="s">
        <v>504</v>
      </c>
      <c r="E69" s="154" t="s">
        <v>16</v>
      </c>
      <c r="F69" s="168">
        <v>0</v>
      </c>
      <c r="G69" s="149"/>
      <c r="H69" s="149"/>
      <c r="I69" s="149"/>
      <c r="L69" s="151"/>
      <c r="N69"/>
    </row>
    <row r="70" spans="1:14">
      <c r="A70" s="190" t="s">
        <v>596</v>
      </c>
      <c r="B70" s="190"/>
      <c r="C70" s="199">
        <f t="shared" si="0"/>
        <v>0</v>
      </c>
      <c r="D70" s="148" t="s">
        <v>505</v>
      </c>
      <c r="E70" s="154" t="s">
        <v>16</v>
      </c>
      <c r="F70" s="168">
        <v>0</v>
      </c>
      <c r="G70" s="149"/>
      <c r="H70" s="149"/>
      <c r="I70" s="149"/>
      <c r="L70" s="151"/>
      <c r="N70"/>
    </row>
    <row r="71" spans="1:14">
      <c r="A71" s="190" t="s">
        <v>597</v>
      </c>
      <c r="B71" s="190"/>
      <c r="C71" s="199">
        <f t="shared" si="0"/>
        <v>0</v>
      </c>
      <c r="D71" s="148" t="s">
        <v>506</v>
      </c>
      <c r="E71" s="154" t="s">
        <v>16</v>
      </c>
      <c r="F71" s="168">
        <v>0</v>
      </c>
      <c r="G71" s="149"/>
      <c r="H71" s="149"/>
      <c r="I71" s="149"/>
      <c r="L71" s="151"/>
      <c r="N71"/>
    </row>
    <row r="72" spans="1:14">
      <c r="A72" s="190" t="s">
        <v>598</v>
      </c>
      <c r="B72" s="190"/>
      <c r="C72" s="199">
        <f t="shared" si="0"/>
        <v>0</v>
      </c>
      <c r="D72" s="148" t="s">
        <v>507</v>
      </c>
      <c r="E72" s="154" t="s">
        <v>16</v>
      </c>
      <c r="F72" s="168">
        <v>0</v>
      </c>
      <c r="G72" s="149"/>
      <c r="H72" s="149"/>
      <c r="I72" s="149"/>
      <c r="L72" s="151"/>
      <c r="N72"/>
    </row>
    <row r="73" spans="1:14">
      <c r="A73" s="190" t="s">
        <v>599</v>
      </c>
      <c r="B73" s="190"/>
      <c r="C73" s="199">
        <f t="shared" si="0"/>
        <v>0</v>
      </c>
      <c r="D73" s="148" t="s">
        <v>508</v>
      </c>
      <c r="E73" s="154" t="s">
        <v>16</v>
      </c>
      <c r="F73" s="168">
        <v>0</v>
      </c>
      <c r="G73" s="149"/>
      <c r="H73" s="149"/>
      <c r="I73" s="149"/>
      <c r="L73" s="151"/>
      <c r="N73"/>
    </row>
    <row r="74" spans="1:14">
      <c r="A74" s="190" t="s">
        <v>600</v>
      </c>
      <c r="B74" s="190"/>
      <c r="C74" s="199">
        <f t="shared" si="0"/>
        <v>0</v>
      </c>
      <c r="D74" s="148" t="s">
        <v>509</v>
      </c>
      <c r="E74" s="154" t="s">
        <v>16</v>
      </c>
      <c r="F74" s="168">
        <v>0</v>
      </c>
      <c r="G74" s="149"/>
      <c r="H74" s="149"/>
      <c r="I74" s="149"/>
      <c r="L74" s="151"/>
      <c r="N74"/>
    </row>
    <row r="75" spans="1:14">
      <c r="A75" s="190" t="s">
        <v>601</v>
      </c>
      <c r="B75" s="190"/>
      <c r="C75" s="199">
        <f t="shared" si="0"/>
        <v>0</v>
      </c>
      <c r="D75" s="148" t="s">
        <v>510</v>
      </c>
      <c r="E75" s="154" t="s">
        <v>16</v>
      </c>
      <c r="F75" s="168">
        <v>0</v>
      </c>
      <c r="G75" s="149"/>
      <c r="H75" s="149"/>
      <c r="I75" s="149"/>
      <c r="L75" s="151"/>
      <c r="N75"/>
    </row>
    <row r="76" spans="1:14">
      <c r="A76" s="190" t="s">
        <v>602</v>
      </c>
      <c r="B76" s="190"/>
      <c r="C76" s="199">
        <f t="shared" si="0"/>
        <v>0</v>
      </c>
      <c r="D76" s="148" t="s">
        <v>511</v>
      </c>
      <c r="E76" s="154" t="s">
        <v>16</v>
      </c>
      <c r="F76" s="168">
        <f>'SP11-1'!M55</f>
        <v>1540889.4056899548</v>
      </c>
      <c r="G76" s="149"/>
      <c r="H76" s="149"/>
      <c r="I76" s="149"/>
      <c r="L76" s="151"/>
      <c r="N76"/>
    </row>
    <row r="77" spans="1:14">
      <c r="A77" s="190" t="s">
        <v>603</v>
      </c>
      <c r="B77" s="190"/>
      <c r="C77" s="199">
        <f t="shared" si="0"/>
        <v>1540889.4056899548</v>
      </c>
      <c r="D77" s="148" t="s">
        <v>512</v>
      </c>
      <c r="E77" s="154" t="s">
        <v>16</v>
      </c>
      <c r="F77" s="168">
        <v>0</v>
      </c>
      <c r="G77" s="149"/>
      <c r="H77" s="149"/>
      <c r="I77" s="149"/>
      <c r="L77" s="151"/>
      <c r="N77"/>
    </row>
    <row r="78" spans="1:14">
      <c r="A78" s="190" t="s">
        <v>604</v>
      </c>
      <c r="B78" s="190"/>
      <c r="C78" s="199">
        <f t="shared" si="0"/>
        <v>0</v>
      </c>
      <c r="D78" s="148" t="s">
        <v>513</v>
      </c>
      <c r="E78" s="154" t="s">
        <v>16</v>
      </c>
      <c r="F78" s="168">
        <v>0</v>
      </c>
      <c r="G78" s="149"/>
      <c r="H78" s="149"/>
      <c r="I78" s="149"/>
      <c r="L78" s="151"/>
      <c r="N78"/>
    </row>
    <row r="79" spans="1:14">
      <c r="A79" s="190" t="s">
        <v>605</v>
      </c>
      <c r="B79" s="190"/>
      <c r="C79" s="199">
        <f t="shared" si="0"/>
        <v>0</v>
      </c>
      <c r="D79" s="148" t="s">
        <v>514</v>
      </c>
      <c r="E79" s="154" t="s">
        <v>16</v>
      </c>
      <c r="F79" s="168">
        <v>0</v>
      </c>
      <c r="G79" s="149"/>
      <c r="H79" s="149"/>
      <c r="I79" s="149"/>
      <c r="L79" s="151"/>
      <c r="N79"/>
    </row>
    <row r="80" spans="1:14">
      <c r="A80" s="190" t="s">
        <v>606</v>
      </c>
      <c r="B80" s="190"/>
      <c r="C80" s="199">
        <f t="shared" si="0"/>
        <v>0</v>
      </c>
      <c r="D80" s="148" t="s">
        <v>515</v>
      </c>
      <c r="E80" s="154" t="s">
        <v>16</v>
      </c>
      <c r="F80" s="168">
        <v>0</v>
      </c>
      <c r="G80" s="149"/>
      <c r="H80" s="149"/>
      <c r="I80" s="149"/>
      <c r="L80" s="151"/>
      <c r="N80"/>
    </row>
    <row r="81" spans="1:14">
      <c r="A81" s="190" t="s">
        <v>607</v>
      </c>
      <c r="B81" s="190"/>
      <c r="C81" s="199">
        <f t="shared" si="0"/>
        <v>0</v>
      </c>
      <c r="D81" s="148" t="s">
        <v>516</v>
      </c>
      <c r="E81" s="154" t="s">
        <v>16</v>
      </c>
      <c r="F81" s="168">
        <v>0</v>
      </c>
      <c r="G81" s="149"/>
      <c r="H81" s="149"/>
      <c r="I81" s="149"/>
      <c r="L81" s="151"/>
      <c r="N81"/>
    </row>
    <row r="82" spans="1:14">
      <c r="A82" s="190" t="s">
        <v>608</v>
      </c>
      <c r="B82" s="190"/>
      <c r="C82" s="199">
        <f t="shared" si="0"/>
        <v>0</v>
      </c>
      <c r="D82" s="148" t="s">
        <v>517</v>
      </c>
      <c r="E82" s="154" t="s">
        <v>16</v>
      </c>
      <c r="F82" s="168">
        <v>0</v>
      </c>
      <c r="G82" s="149"/>
      <c r="H82" s="149"/>
      <c r="I82" s="149"/>
      <c r="L82" s="151"/>
      <c r="N82"/>
    </row>
    <row r="83" spans="1:14">
      <c r="A83" s="190" t="s">
        <v>609</v>
      </c>
      <c r="B83" s="190"/>
      <c r="C83" s="199">
        <f t="shared" si="0"/>
        <v>0</v>
      </c>
      <c r="D83" s="148" t="s">
        <v>518</v>
      </c>
      <c r="E83" s="154" t="s">
        <v>16</v>
      </c>
      <c r="F83" s="168">
        <v>0</v>
      </c>
      <c r="G83" s="149"/>
      <c r="H83" s="149"/>
      <c r="I83" s="149"/>
      <c r="L83" s="151"/>
      <c r="N83"/>
    </row>
    <row r="84" spans="1:14" ht="12.75" customHeight="1">
      <c r="A84" s="190" t="s">
        <v>610</v>
      </c>
      <c r="B84" s="190"/>
      <c r="C84" s="199">
        <f t="shared" si="0"/>
        <v>0</v>
      </c>
      <c r="D84" s="148" t="s">
        <v>519</v>
      </c>
      <c r="E84" s="154" t="s">
        <v>16</v>
      </c>
      <c r="F84" s="164">
        <f>SUM(F66:F83)</f>
        <v>1601093.3842900982</v>
      </c>
      <c r="G84" s="149"/>
      <c r="H84" s="149"/>
      <c r="I84" s="149"/>
      <c r="L84" s="151"/>
      <c r="N84"/>
    </row>
    <row r="85" spans="1:14">
      <c r="A85" s="190" t="s">
        <v>611</v>
      </c>
      <c r="B85" s="190"/>
      <c r="C85" s="199">
        <f t="shared" si="0"/>
        <v>1601093.3842900982</v>
      </c>
      <c r="D85" s="169"/>
      <c r="E85" s="149"/>
      <c r="F85" s="149"/>
      <c r="G85" s="149"/>
      <c r="H85" s="149"/>
      <c r="I85" s="149"/>
      <c r="L85" s="153"/>
      <c r="N85"/>
    </row>
    <row r="86" spans="1:14">
      <c r="A86" s="190" t="s">
        <v>612</v>
      </c>
      <c r="B86" s="190"/>
      <c r="C86" s="194">
        <f>F88</f>
        <v>3.0276168056593242</v>
      </c>
      <c r="D86" s="148" t="s">
        <v>520</v>
      </c>
      <c r="E86" s="149"/>
      <c r="F86" s="285"/>
      <c r="G86" s="286"/>
      <c r="H86" s="286"/>
      <c r="I86" s="286"/>
      <c r="J86" s="287"/>
      <c r="L86" s="151"/>
      <c r="N86"/>
    </row>
    <row r="87" spans="1:14">
      <c r="A87" s="190" t="s">
        <v>613</v>
      </c>
      <c r="B87" s="190"/>
      <c r="C87" s="194">
        <f>F89</f>
        <v>0</v>
      </c>
      <c r="D87" s="148"/>
      <c r="E87" s="149"/>
      <c r="F87" s="149"/>
      <c r="G87" s="149"/>
      <c r="H87" s="149"/>
      <c r="I87" s="149"/>
      <c r="L87" s="153"/>
      <c r="N87"/>
    </row>
    <row r="88" spans="1:14">
      <c r="A88" s="190" t="s">
        <v>614</v>
      </c>
      <c r="B88" s="190"/>
      <c r="C88" s="194">
        <f>F90</f>
        <v>0</v>
      </c>
      <c r="D88" s="148" t="s">
        <v>521</v>
      </c>
      <c r="E88" s="149"/>
      <c r="F88" s="163">
        <f>'SP11-1'!M59</f>
        <v>3.0276168056593242</v>
      </c>
      <c r="G88" s="149"/>
      <c r="H88" s="149"/>
      <c r="I88" s="149"/>
      <c r="L88" s="151"/>
      <c r="N88"/>
    </row>
    <row r="89" spans="1:14">
      <c r="A89" s="190" t="s">
        <v>615</v>
      </c>
      <c r="B89" s="190" t="s">
        <v>616</v>
      </c>
      <c r="C89" s="194">
        <f>F92</f>
        <v>0</v>
      </c>
      <c r="D89" s="148" t="s">
        <v>522</v>
      </c>
      <c r="E89" s="149"/>
      <c r="F89" s="163">
        <v>0</v>
      </c>
      <c r="G89" s="149"/>
      <c r="H89" s="149"/>
      <c r="I89" s="149"/>
      <c r="L89" s="151"/>
      <c r="N89"/>
    </row>
    <row r="90" spans="1:14">
      <c r="A90" s="190" t="s">
        <v>615</v>
      </c>
      <c r="B90" s="190" t="s">
        <v>617</v>
      </c>
      <c r="C90" s="194">
        <f>G92</f>
        <v>0</v>
      </c>
      <c r="D90" s="148" t="s">
        <v>523</v>
      </c>
      <c r="E90" s="149"/>
      <c r="F90" s="163">
        <v>0</v>
      </c>
      <c r="G90" s="149"/>
      <c r="H90" s="149"/>
      <c r="I90" s="149"/>
      <c r="L90" s="151"/>
      <c r="N90"/>
    </row>
    <row r="91" spans="1:14">
      <c r="D91" s="148"/>
      <c r="E91" s="149"/>
      <c r="F91" s="149"/>
      <c r="G91" s="149"/>
      <c r="H91" s="149"/>
      <c r="I91" s="149"/>
      <c r="L91" s="153"/>
      <c r="N91"/>
    </row>
    <row r="92" spans="1:14">
      <c r="D92" s="148" t="s">
        <v>524</v>
      </c>
      <c r="E92" s="149"/>
      <c r="F92" s="163">
        <v>0</v>
      </c>
      <c r="G92" s="163">
        <v>0</v>
      </c>
      <c r="H92" s="149"/>
      <c r="I92" s="149"/>
      <c r="L92" s="151"/>
      <c r="N92"/>
    </row>
    <row r="93" spans="1:14">
      <c r="N93"/>
    </row>
    <row r="94" spans="1:14">
      <c r="N94"/>
    </row>
    <row r="95" spans="1:14">
      <c r="N95"/>
    </row>
    <row r="96" spans="1:14">
      <c r="N96"/>
    </row>
    <row r="97" spans="4:14" ht="15" hidden="1">
      <c r="D97" s="141" t="s">
        <v>224</v>
      </c>
      <c r="N97"/>
    </row>
    <row r="98" spans="4:14" hidden="1">
      <c r="D98" s="142" t="s">
        <v>117</v>
      </c>
      <c r="N98"/>
    </row>
    <row r="99" spans="4:14" hidden="1">
      <c r="D99" s="142" t="s">
        <v>236</v>
      </c>
      <c r="N99"/>
    </row>
    <row r="100" spans="4:14" hidden="1">
      <c r="D100" s="142" t="s">
        <v>237</v>
      </c>
      <c r="N100"/>
    </row>
    <row r="101" spans="4:14" hidden="1">
      <c r="D101" s="142" t="s">
        <v>238</v>
      </c>
      <c r="N101"/>
    </row>
    <row r="102" spans="4:14" hidden="1">
      <c r="D102" s="142" t="s">
        <v>239</v>
      </c>
      <c r="N102"/>
    </row>
    <row r="103" spans="4:14">
      <c r="N103"/>
    </row>
    <row r="104" spans="4:14">
      <c r="N104"/>
    </row>
    <row r="105" spans="4:14">
      <c r="N105"/>
    </row>
    <row r="106" spans="4:14">
      <c r="N106"/>
    </row>
    <row r="107" spans="4:14">
      <c r="N107"/>
    </row>
    <row r="108" spans="4:14">
      <c r="N108"/>
    </row>
    <row r="109" spans="4:14">
      <c r="N109"/>
    </row>
    <row r="110" spans="4:14">
      <c r="N110"/>
    </row>
    <row r="111" spans="4:14">
      <c r="N111"/>
    </row>
    <row r="112" spans="4:14">
      <c r="N112"/>
    </row>
    <row r="113" spans="14:14">
      <c r="N113"/>
    </row>
    <row r="114" spans="14:14">
      <c r="N114"/>
    </row>
    <row r="115" spans="14:14">
      <c r="N115"/>
    </row>
    <row r="116" spans="14:14">
      <c r="N116"/>
    </row>
    <row r="117" spans="14:14">
      <c r="N117"/>
    </row>
    <row r="118" spans="14:14">
      <c r="N118"/>
    </row>
    <row r="119" spans="14:14">
      <c r="N119"/>
    </row>
    <row r="120" spans="14:14">
      <c r="N120"/>
    </row>
    <row r="121" spans="14:14">
      <c r="N121"/>
    </row>
    <row r="122" spans="14:14">
      <c r="N122"/>
    </row>
    <row r="123" spans="14:14">
      <c r="N123"/>
    </row>
    <row r="124" spans="14:14">
      <c r="N124"/>
    </row>
    <row r="125" spans="14:14">
      <c r="N125"/>
    </row>
    <row r="126" spans="14:14">
      <c r="N126"/>
    </row>
    <row r="127" spans="14:14">
      <c r="N127"/>
    </row>
    <row r="128" spans="14:14">
      <c r="N128"/>
    </row>
    <row r="129" spans="14:14">
      <c r="N129"/>
    </row>
    <row r="130" spans="14:14">
      <c r="N130"/>
    </row>
    <row r="131" spans="14:14">
      <c r="N131"/>
    </row>
    <row r="132" spans="14:14">
      <c r="N132"/>
    </row>
    <row r="133" spans="14:14">
      <c r="N133"/>
    </row>
    <row r="134" spans="14:14">
      <c r="N134"/>
    </row>
    <row r="135" spans="14:14">
      <c r="N135"/>
    </row>
    <row r="136" spans="14:14">
      <c r="N136"/>
    </row>
    <row r="137" spans="14:14">
      <c r="N137"/>
    </row>
    <row r="138" spans="14:14">
      <c r="N138"/>
    </row>
    <row r="139" spans="14:14">
      <c r="N139"/>
    </row>
    <row r="140" spans="14:14">
      <c r="N140"/>
    </row>
    <row r="141" spans="14:14">
      <c r="N141"/>
    </row>
    <row r="142" spans="14:14">
      <c r="N142"/>
    </row>
    <row r="143" spans="14:14">
      <c r="N143"/>
    </row>
    <row r="144" spans="14:14">
      <c r="N144"/>
    </row>
    <row r="145" spans="14:14">
      <c r="N145"/>
    </row>
    <row r="146" spans="14:14">
      <c r="N146"/>
    </row>
    <row r="147" spans="14:14">
      <c r="N147"/>
    </row>
    <row r="148" spans="14:14">
      <c r="N148"/>
    </row>
    <row r="149" spans="14:14">
      <c r="N149"/>
    </row>
    <row r="150" spans="14:14">
      <c r="N150"/>
    </row>
    <row r="151" spans="14:14">
      <c r="N151"/>
    </row>
    <row r="152" spans="14:14">
      <c r="N152"/>
    </row>
    <row r="153" spans="14:14">
      <c r="N153"/>
    </row>
    <row r="154" spans="14:14">
      <c r="N154"/>
    </row>
    <row r="155" spans="14:14">
      <c r="N155"/>
    </row>
    <row r="156" spans="14:14">
      <c r="N156"/>
    </row>
    <row r="157" spans="14:14">
      <c r="N157"/>
    </row>
    <row r="158" spans="14:14">
      <c r="N158"/>
    </row>
    <row r="159" spans="14:14">
      <c r="N159"/>
    </row>
    <row r="160" spans="14:14">
      <c r="N160"/>
    </row>
    <row r="161" spans="14:14">
      <c r="N161"/>
    </row>
    <row r="162" spans="14:14">
      <c r="N162"/>
    </row>
    <row r="163" spans="14:14">
      <c r="N163"/>
    </row>
    <row r="164" spans="14:14">
      <c r="N164"/>
    </row>
    <row r="165" spans="14:14">
      <c r="N165"/>
    </row>
    <row r="166" spans="14:14">
      <c r="N166"/>
    </row>
    <row r="167" spans="14:14">
      <c r="N167"/>
    </row>
    <row r="168" spans="14:14">
      <c r="N168"/>
    </row>
    <row r="169" spans="14:14">
      <c r="N169"/>
    </row>
    <row r="170" spans="14:14">
      <c r="N170"/>
    </row>
    <row r="171" spans="14:14">
      <c r="N171"/>
    </row>
    <row r="172" spans="14:14">
      <c r="N172"/>
    </row>
    <row r="173" spans="14:14">
      <c r="N173"/>
    </row>
    <row r="174" spans="14:14">
      <c r="N174"/>
    </row>
    <row r="175" spans="14:14">
      <c r="N175"/>
    </row>
    <row r="176" spans="14:14">
      <c r="N176"/>
    </row>
    <row r="177" spans="14:14">
      <c r="N177"/>
    </row>
    <row r="178" spans="14:14">
      <c r="N178"/>
    </row>
    <row r="179" spans="14:14">
      <c r="N179"/>
    </row>
    <row r="180" spans="14:14">
      <c r="N180"/>
    </row>
    <row r="181" spans="14:14">
      <c r="N181"/>
    </row>
    <row r="182" spans="14:14">
      <c r="N182"/>
    </row>
    <row r="183" spans="14:14">
      <c r="N183"/>
    </row>
    <row r="184" spans="14:14">
      <c r="N184"/>
    </row>
    <row r="185" spans="14:14">
      <c r="N185"/>
    </row>
    <row r="186" spans="14:14">
      <c r="N186"/>
    </row>
    <row r="187" spans="14:14">
      <c r="N187"/>
    </row>
    <row r="188" spans="14:14">
      <c r="N188"/>
    </row>
    <row r="189" spans="14:14">
      <c r="N189"/>
    </row>
    <row r="190" spans="14:14">
      <c r="N190"/>
    </row>
    <row r="191" spans="14:14">
      <c r="N191"/>
    </row>
    <row r="192" spans="14:14">
      <c r="N192"/>
    </row>
    <row r="193" spans="14:14">
      <c r="N193"/>
    </row>
    <row r="194" spans="14:14">
      <c r="N194"/>
    </row>
    <row r="195" spans="14:14">
      <c r="N195"/>
    </row>
    <row r="196" spans="14:14">
      <c r="N196"/>
    </row>
    <row r="197" spans="14:14">
      <c r="N197"/>
    </row>
    <row r="198" spans="14:14">
      <c r="N198"/>
    </row>
    <row r="199" spans="14:14">
      <c r="N199"/>
    </row>
    <row r="200" spans="14:14">
      <c r="N200"/>
    </row>
    <row r="201" spans="14:14">
      <c r="N201"/>
    </row>
    <row r="202" spans="14:14">
      <c r="N202"/>
    </row>
    <row r="203" spans="14:14">
      <c r="N203"/>
    </row>
    <row r="204" spans="14:14">
      <c r="N204"/>
    </row>
    <row r="205" spans="14:14">
      <c r="N205"/>
    </row>
    <row r="206" spans="14:14">
      <c r="N206"/>
    </row>
    <row r="207" spans="14:14">
      <c r="N207"/>
    </row>
    <row r="208" spans="14:14">
      <c r="N208"/>
    </row>
    <row r="209" spans="14:14">
      <c r="N209"/>
    </row>
    <row r="210" spans="14:14">
      <c r="N210"/>
    </row>
    <row r="211" spans="14:14">
      <c r="N211"/>
    </row>
    <row r="212" spans="14:14">
      <c r="N212"/>
    </row>
    <row r="213" spans="14:14">
      <c r="N213"/>
    </row>
    <row r="214" spans="14:14">
      <c r="N214"/>
    </row>
    <row r="215" spans="14:14">
      <c r="N215"/>
    </row>
    <row r="216" spans="14:14">
      <c r="N216"/>
    </row>
    <row r="217" spans="14:14">
      <c r="N217"/>
    </row>
    <row r="218" spans="14:14">
      <c r="N218"/>
    </row>
    <row r="219" spans="14:14">
      <c r="N219"/>
    </row>
    <row r="220" spans="14:14">
      <c r="N220"/>
    </row>
    <row r="221" spans="14:14">
      <c r="N221"/>
    </row>
    <row r="222" spans="14:14">
      <c r="N222"/>
    </row>
    <row r="223" spans="14:14">
      <c r="N223"/>
    </row>
    <row r="224" spans="14:14">
      <c r="N224"/>
    </row>
    <row r="225" spans="14:14">
      <c r="N225"/>
    </row>
    <row r="226" spans="14:14">
      <c r="N226"/>
    </row>
    <row r="227" spans="14:14">
      <c r="N227"/>
    </row>
    <row r="228" spans="14:14">
      <c r="N228"/>
    </row>
    <row r="229" spans="14:14">
      <c r="N229"/>
    </row>
    <row r="230" spans="14:14">
      <c r="N230"/>
    </row>
    <row r="231" spans="14:14">
      <c r="N231"/>
    </row>
    <row r="232" spans="14:14">
      <c r="N232"/>
    </row>
    <row r="233" spans="14:14">
      <c r="N233"/>
    </row>
    <row r="234" spans="14:14">
      <c r="N234"/>
    </row>
    <row r="235" spans="14:14">
      <c r="N235"/>
    </row>
    <row r="236" spans="14:14">
      <c r="N236"/>
    </row>
    <row r="237" spans="14:14">
      <c r="N237"/>
    </row>
    <row r="238" spans="14:14">
      <c r="N238"/>
    </row>
    <row r="239" spans="14:14">
      <c r="N239"/>
    </row>
    <row r="240" spans="14:14">
      <c r="N240"/>
    </row>
    <row r="241" spans="14:14">
      <c r="N241"/>
    </row>
    <row r="242" spans="14:14">
      <c r="N242"/>
    </row>
    <row r="243" spans="14:14">
      <c r="N243"/>
    </row>
    <row r="244" spans="14:14">
      <c r="N244"/>
    </row>
    <row r="245" spans="14:14">
      <c r="N245"/>
    </row>
    <row r="246" spans="14:14">
      <c r="N246"/>
    </row>
    <row r="247" spans="14:14">
      <c r="N247"/>
    </row>
    <row r="248" spans="14:14">
      <c r="N248"/>
    </row>
    <row r="249" spans="14:14">
      <c r="N249"/>
    </row>
    <row r="250" spans="14:14">
      <c r="N250"/>
    </row>
    <row r="251" spans="14:14">
      <c r="N251"/>
    </row>
    <row r="252" spans="14:14">
      <c r="N252"/>
    </row>
    <row r="253" spans="14:14">
      <c r="N253"/>
    </row>
    <row r="254" spans="14:14">
      <c r="N254"/>
    </row>
    <row r="255" spans="14:14">
      <c r="N255"/>
    </row>
    <row r="256" spans="14:14">
      <c r="N256"/>
    </row>
    <row r="257" spans="14:14">
      <c r="N257"/>
    </row>
    <row r="258" spans="14:14">
      <c r="N258"/>
    </row>
    <row r="259" spans="14:14">
      <c r="N259"/>
    </row>
    <row r="260" spans="14:14">
      <c r="N260"/>
    </row>
    <row r="261" spans="14:14">
      <c r="N261"/>
    </row>
    <row r="262" spans="14:14">
      <c r="N262"/>
    </row>
    <row r="263" spans="14:14">
      <c r="N263"/>
    </row>
    <row r="264" spans="14:14">
      <c r="N264"/>
    </row>
    <row r="265" spans="14:14">
      <c r="N265"/>
    </row>
    <row r="266" spans="14:14">
      <c r="N266"/>
    </row>
    <row r="267" spans="14:14">
      <c r="N267"/>
    </row>
    <row r="268" spans="14:14">
      <c r="N268"/>
    </row>
    <row r="269" spans="14:14">
      <c r="N269"/>
    </row>
    <row r="270" spans="14:14">
      <c r="N270"/>
    </row>
    <row r="271" spans="14:14">
      <c r="N271"/>
    </row>
    <row r="272" spans="14:14">
      <c r="N272"/>
    </row>
    <row r="273" spans="14:14">
      <c r="N273"/>
    </row>
    <row r="274" spans="14:14">
      <c r="N274"/>
    </row>
    <row r="275" spans="14:14">
      <c r="N275"/>
    </row>
    <row r="276" spans="14:14">
      <c r="N276"/>
    </row>
    <row r="277" spans="14:14">
      <c r="N277"/>
    </row>
    <row r="278" spans="14:14">
      <c r="N278"/>
    </row>
    <row r="279" spans="14:14">
      <c r="N279"/>
    </row>
    <row r="280" spans="14:14">
      <c r="N280"/>
    </row>
    <row r="281" spans="14:14">
      <c r="N281"/>
    </row>
    <row r="282" spans="14:14">
      <c r="N282"/>
    </row>
    <row r="283" spans="14:14">
      <c r="N283"/>
    </row>
    <row r="284" spans="14:14">
      <c r="N284"/>
    </row>
    <row r="285" spans="14:14">
      <c r="N285"/>
    </row>
    <row r="286" spans="14:14">
      <c r="N286"/>
    </row>
    <row r="287" spans="14:14">
      <c r="N287"/>
    </row>
    <row r="288" spans="14:14">
      <c r="N288"/>
    </row>
    <row r="289" spans="14:14">
      <c r="N289"/>
    </row>
    <row r="290" spans="14:14">
      <c r="N290"/>
    </row>
    <row r="291" spans="14:14">
      <c r="N291"/>
    </row>
    <row r="292" spans="14:14">
      <c r="N292"/>
    </row>
    <row r="293" spans="14:14">
      <c r="N293"/>
    </row>
    <row r="294" spans="14:14">
      <c r="N294"/>
    </row>
    <row r="295" spans="14:14">
      <c r="N295"/>
    </row>
    <row r="296" spans="14:14">
      <c r="N296"/>
    </row>
    <row r="297" spans="14:14">
      <c r="N297"/>
    </row>
    <row r="298" spans="14:14">
      <c r="N298"/>
    </row>
    <row r="299" spans="14:14">
      <c r="N299"/>
    </row>
    <row r="300" spans="14:14">
      <c r="N300"/>
    </row>
    <row r="301" spans="14:14">
      <c r="N301"/>
    </row>
    <row r="302" spans="14:14">
      <c r="N302"/>
    </row>
    <row r="303" spans="14:14">
      <c r="N303"/>
    </row>
    <row r="304" spans="14:14">
      <c r="N304"/>
    </row>
    <row r="305" spans="14:14">
      <c r="N305"/>
    </row>
    <row r="306" spans="14:14">
      <c r="N306"/>
    </row>
    <row r="307" spans="14:14">
      <c r="N307"/>
    </row>
    <row r="308" spans="14:14">
      <c r="N308"/>
    </row>
    <row r="309" spans="14:14">
      <c r="N309"/>
    </row>
    <row r="310" spans="14:14">
      <c r="N310"/>
    </row>
    <row r="311" spans="14:14">
      <c r="N311"/>
    </row>
    <row r="312" spans="14:14">
      <c r="N312"/>
    </row>
    <row r="313" spans="14:14">
      <c r="N313"/>
    </row>
    <row r="314" spans="14:14">
      <c r="N314"/>
    </row>
    <row r="315" spans="14:14">
      <c r="N315"/>
    </row>
    <row r="316" spans="14:14">
      <c r="N316"/>
    </row>
    <row r="317" spans="14:14">
      <c r="N317"/>
    </row>
    <row r="318" spans="14:14">
      <c r="N318"/>
    </row>
    <row r="319" spans="14:14">
      <c r="N319"/>
    </row>
    <row r="320" spans="14:14">
      <c r="N320"/>
    </row>
    <row r="321" spans="14:14">
      <c r="N321"/>
    </row>
    <row r="322" spans="14:14">
      <c r="N322"/>
    </row>
    <row r="323" spans="14:14">
      <c r="N323"/>
    </row>
    <row r="324" spans="14:14">
      <c r="N324"/>
    </row>
    <row r="325" spans="14:14">
      <c r="N325"/>
    </row>
    <row r="326" spans="14:14">
      <c r="N326"/>
    </row>
    <row r="327" spans="14:14">
      <c r="N327"/>
    </row>
    <row r="328" spans="14:14">
      <c r="N328"/>
    </row>
    <row r="329" spans="14:14">
      <c r="N329"/>
    </row>
    <row r="330" spans="14:14">
      <c r="N330"/>
    </row>
    <row r="331" spans="14:14">
      <c r="N331"/>
    </row>
    <row r="332" spans="14:14">
      <c r="N332"/>
    </row>
    <row r="333" spans="14:14">
      <c r="N333"/>
    </row>
    <row r="334" spans="14:14">
      <c r="N334"/>
    </row>
    <row r="335" spans="14:14">
      <c r="N335"/>
    </row>
    <row r="336" spans="14:14">
      <c r="N336"/>
    </row>
    <row r="337" spans="14:14">
      <c r="N337"/>
    </row>
    <row r="338" spans="14:14">
      <c r="N338"/>
    </row>
    <row r="339" spans="14:14">
      <c r="N339"/>
    </row>
    <row r="340" spans="14:14">
      <c r="N340"/>
    </row>
    <row r="341" spans="14:14">
      <c r="N341"/>
    </row>
    <row r="342" spans="14:14">
      <c r="N342"/>
    </row>
    <row r="343" spans="14:14">
      <c r="N343"/>
    </row>
    <row r="344" spans="14:14">
      <c r="N344"/>
    </row>
    <row r="345" spans="14:14">
      <c r="N345"/>
    </row>
    <row r="346" spans="14:14">
      <c r="N346"/>
    </row>
    <row r="347" spans="14:14">
      <c r="N347"/>
    </row>
    <row r="348" spans="14:14">
      <c r="N348"/>
    </row>
    <row r="349" spans="14:14">
      <c r="N349"/>
    </row>
    <row r="350" spans="14:14">
      <c r="N350"/>
    </row>
    <row r="351" spans="14:14">
      <c r="N351"/>
    </row>
    <row r="352" spans="14:14">
      <c r="N352"/>
    </row>
    <row r="353" spans="14:14">
      <c r="N353"/>
    </row>
    <row r="354" spans="14:14">
      <c r="N354"/>
    </row>
    <row r="355" spans="14:14">
      <c r="N355"/>
    </row>
    <row r="356" spans="14:14">
      <c r="N356"/>
    </row>
    <row r="357" spans="14:14">
      <c r="N357"/>
    </row>
    <row r="358" spans="14:14">
      <c r="N358"/>
    </row>
    <row r="359" spans="14:14">
      <c r="N359"/>
    </row>
    <row r="360" spans="14:14">
      <c r="N360"/>
    </row>
    <row r="361" spans="14:14">
      <c r="N361"/>
    </row>
    <row r="362" spans="14:14">
      <c r="N362"/>
    </row>
    <row r="363" spans="14:14">
      <c r="N363"/>
    </row>
  </sheetData>
  <sheetProtection password="C5CB" sheet="1"/>
  <mergeCells count="11">
    <mergeCell ref="F15:J15"/>
    <mergeCell ref="F3:H3"/>
    <mergeCell ref="F4:H4"/>
    <mergeCell ref="F6:H6"/>
    <mergeCell ref="F7:H7"/>
    <mergeCell ref="F14:J14"/>
    <mergeCell ref="F86:J86"/>
    <mergeCell ref="F16:J16"/>
    <mergeCell ref="F17:J17"/>
    <mergeCell ref="F18:J18"/>
    <mergeCell ref="F19:J19"/>
  </mergeCells>
  <pageMargins left="1.1811023622047245" right="0.78740157480314965" top="0.78740157480314965" bottom="0.78740157480314965" header="0.51181102362204722" footer="0.51181102362204722"/>
  <pageSetup paperSize="9" scale="62" orientation="portrait" verticalDpi="300" r:id="rId1"/>
  <headerFooter scaleWithDoc="0" alignWithMargins="0">
    <oddHeader>&amp;L&amp;"-,Regular"&amp;8&amp;F&amp;R&amp;"-,Regular"&amp;8&amp;A</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20"/>
  <sheetViews>
    <sheetView zoomScaleNormal="100" workbookViewId="0">
      <selection activeCell="E13" sqref="E13:G13"/>
    </sheetView>
  </sheetViews>
  <sheetFormatPr defaultColWidth="8.85546875" defaultRowHeight="12.75"/>
  <cols>
    <col min="1" max="1" width="4.140625" style="2" customWidth="1"/>
    <col min="2" max="4" width="13.5703125" style="5" customWidth="1"/>
    <col min="5" max="7" width="15.28515625" style="5" customWidth="1"/>
    <col min="8" max="8" width="3.28515625" style="5" customWidth="1"/>
    <col min="9" max="16384" width="8.85546875" style="5"/>
  </cols>
  <sheetData>
    <row r="1" spans="1:9" s="47" customFormat="1" ht="16.5" customHeight="1">
      <c r="B1" s="46"/>
      <c r="C1" s="46"/>
      <c r="D1" s="40"/>
      <c r="E1" s="40"/>
      <c r="F1" s="40"/>
      <c r="G1" s="40"/>
      <c r="H1" s="40"/>
      <c r="I1" s="41" t="s">
        <v>359</v>
      </c>
    </row>
    <row r="2" spans="1:9" s="38" customFormat="1" ht="19.5" customHeight="1">
      <c r="A2" s="82" t="s">
        <v>402</v>
      </c>
      <c r="B2" s="53"/>
      <c r="C2" s="53"/>
      <c r="D2" s="41"/>
      <c r="E2" s="41"/>
      <c r="F2" s="41"/>
      <c r="G2" s="127" t="str">
        <f>'SP11-1'!$L$2</f>
        <v>Spreadsheet v 3 (27-March-14)</v>
      </c>
      <c r="H2" s="41"/>
      <c r="I2" s="139" t="s">
        <v>360</v>
      </c>
    </row>
    <row r="3" spans="1:9" s="47" customFormat="1" ht="12" customHeight="1">
      <c r="A3" s="55" t="s">
        <v>312</v>
      </c>
      <c r="B3" s="55"/>
      <c r="C3" s="55"/>
      <c r="D3" s="4"/>
      <c r="E3" s="4"/>
      <c r="F3" s="4"/>
      <c r="G3" s="4"/>
      <c r="H3" s="4"/>
    </row>
    <row r="4" spans="1:9" s="38" customFormat="1" ht="33.75" customHeight="1">
      <c r="A4" s="82"/>
      <c r="B4" s="295" t="s">
        <v>378</v>
      </c>
      <c r="C4" s="295"/>
      <c r="D4" s="295"/>
      <c r="E4" s="295"/>
      <c r="F4" s="295"/>
      <c r="G4" s="295"/>
      <c r="H4" s="295"/>
    </row>
    <row r="5" spans="1:9" s="47" customFormat="1" ht="11.25" customHeight="1">
      <c r="A5" s="36"/>
      <c r="B5" s="36"/>
      <c r="C5" s="36"/>
      <c r="D5" s="4"/>
      <c r="E5" s="4"/>
      <c r="F5" s="4"/>
      <c r="G5" s="4"/>
      <c r="H5" s="4"/>
    </row>
    <row r="6" spans="1:9" s="47" customFormat="1" ht="3.75" customHeight="1">
      <c r="A6" s="56"/>
      <c r="B6" s="56"/>
      <c r="C6" s="56"/>
      <c r="D6" s="57"/>
      <c r="E6" s="57"/>
      <c r="F6" s="57"/>
      <c r="G6" s="57"/>
      <c r="H6" s="57"/>
    </row>
    <row r="7" spans="1:9" ht="19.5" customHeight="1">
      <c r="A7" s="120"/>
      <c r="B7" s="451" t="s">
        <v>264</v>
      </c>
      <c r="C7" s="451"/>
      <c r="D7" s="451"/>
      <c r="E7" s="451"/>
      <c r="F7" s="451"/>
      <c r="G7" s="451"/>
      <c r="H7" s="121"/>
    </row>
    <row r="8" spans="1:9" s="38" customFormat="1" ht="18" customHeight="1">
      <c r="A8" s="59"/>
      <c r="B8" s="407" t="s">
        <v>232</v>
      </c>
      <c r="C8" s="450"/>
      <c r="D8" s="450"/>
      <c r="E8" s="112" t="s">
        <v>311</v>
      </c>
      <c r="F8" s="112" t="s">
        <v>266</v>
      </c>
      <c r="G8" s="112" t="s">
        <v>267</v>
      </c>
      <c r="H8" s="60"/>
    </row>
    <row r="9" spans="1:9" s="38" customFormat="1" ht="18" customHeight="1">
      <c r="A9" s="64">
        <v>1</v>
      </c>
      <c r="B9" s="407" t="s">
        <v>331</v>
      </c>
      <c r="C9" s="450"/>
      <c r="D9" s="450"/>
      <c r="E9" s="178">
        <v>6.1719999999999997</v>
      </c>
      <c r="F9" s="179">
        <v>4.0519999999999996</v>
      </c>
      <c r="G9" s="180">
        <v>10.101000000000001</v>
      </c>
      <c r="H9" s="60"/>
    </row>
    <row r="10" spans="1:9" s="38" customFormat="1" ht="18" customHeight="1">
      <c r="A10" s="64">
        <v>2</v>
      </c>
      <c r="B10" s="407" t="s">
        <v>230</v>
      </c>
      <c r="C10" s="450"/>
      <c r="D10" s="450"/>
      <c r="E10" s="181">
        <v>214.19300000000001</v>
      </c>
      <c r="F10" s="182">
        <v>507.89699999999999</v>
      </c>
      <c r="G10" s="183">
        <v>734.08600000000001</v>
      </c>
      <c r="H10" s="60"/>
    </row>
    <row r="11" spans="1:9" s="38" customFormat="1" ht="18" customHeight="1">
      <c r="A11" s="64">
        <v>3</v>
      </c>
      <c r="B11" s="407" t="s">
        <v>332</v>
      </c>
      <c r="C11" s="450"/>
      <c r="D11" s="450"/>
      <c r="E11" s="184">
        <f>E10*E9</f>
        <v>1321.999196</v>
      </c>
      <c r="F11" s="185">
        <f>F10*F9</f>
        <v>2057.9986439999998</v>
      </c>
      <c r="G11" s="186">
        <f>G10*G9</f>
        <v>7415.0026860000007</v>
      </c>
      <c r="H11" s="60"/>
    </row>
    <row r="12" spans="1:9" s="38" customFormat="1" ht="18" customHeight="1">
      <c r="A12" s="64">
        <v>4</v>
      </c>
      <c r="B12" s="407" t="s">
        <v>333</v>
      </c>
      <c r="C12" s="450"/>
      <c r="D12" s="450"/>
      <c r="E12" s="452">
        <f>SUM(E11:G11)</f>
        <v>10795.000526</v>
      </c>
      <c r="F12" s="453"/>
      <c r="G12" s="454"/>
      <c r="H12" s="60"/>
    </row>
    <row r="13" spans="1:9" s="38" customFormat="1" ht="18" customHeight="1">
      <c r="A13" s="64">
        <v>5</v>
      </c>
      <c r="B13" s="407" t="s">
        <v>265</v>
      </c>
      <c r="C13" s="450"/>
      <c r="D13" s="450"/>
      <c r="E13" s="455">
        <v>6.0000000000000001E-3</v>
      </c>
      <c r="F13" s="456"/>
      <c r="G13" s="457"/>
      <c r="H13" s="60"/>
    </row>
    <row r="14" spans="1:9" s="38" customFormat="1" ht="18" customHeight="1">
      <c r="A14" s="64">
        <v>6</v>
      </c>
      <c r="B14" s="407" t="s">
        <v>231</v>
      </c>
      <c r="C14" s="450"/>
      <c r="D14" s="450"/>
      <c r="E14" s="187">
        <v>1.04</v>
      </c>
      <c r="F14" s="187">
        <v>0.54</v>
      </c>
      <c r="G14" s="187">
        <v>0.21</v>
      </c>
      <c r="H14" s="60"/>
    </row>
    <row r="15" spans="1:9" s="38" customFormat="1" ht="18" customHeight="1">
      <c r="A15" s="64">
        <v>7</v>
      </c>
      <c r="B15" s="407" t="s">
        <v>334</v>
      </c>
      <c r="C15" s="450"/>
      <c r="D15" s="450"/>
      <c r="E15" s="184">
        <f>E11*E14</f>
        <v>1374.87916384</v>
      </c>
      <c r="F15" s="185">
        <f>F11*F14</f>
        <v>1111.31926776</v>
      </c>
      <c r="G15" s="186">
        <f>G11*G14</f>
        <v>1557.1505640600001</v>
      </c>
      <c r="H15" s="60"/>
    </row>
    <row r="16" spans="1:9" s="38" customFormat="1" ht="18" customHeight="1">
      <c r="A16" s="64">
        <v>8</v>
      </c>
      <c r="B16" s="407" t="s">
        <v>335</v>
      </c>
      <c r="C16" s="450"/>
      <c r="D16" s="450"/>
      <c r="E16" s="452">
        <f>SUM(E15:G15)</f>
        <v>4043.3489956599997</v>
      </c>
      <c r="F16" s="453"/>
      <c r="G16" s="454"/>
      <c r="H16" s="60"/>
    </row>
    <row r="17" spans="1:8" s="38" customFormat="1" ht="18" customHeight="1">
      <c r="A17" s="64">
        <v>9</v>
      </c>
      <c r="B17" s="407" t="s">
        <v>366</v>
      </c>
      <c r="C17" s="450"/>
      <c r="D17" s="450"/>
      <c r="E17" s="461">
        <f>IF(E13=0,0,(E13*0.96)+0.0032)</f>
        <v>8.9599999999999992E-3</v>
      </c>
      <c r="F17" s="462"/>
      <c r="G17" s="463"/>
      <c r="H17" s="60"/>
    </row>
    <row r="18" spans="1:8" s="38" customFormat="1" ht="18" customHeight="1">
      <c r="A18" s="64">
        <v>10</v>
      </c>
      <c r="B18" s="407" t="s">
        <v>336</v>
      </c>
      <c r="C18" s="450"/>
      <c r="D18" s="450"/>
      <c r="E18" s="452">
        <f>E12*E17</f>
        <v>96.723204712959983</v>
      </c>
      <c r="F18" s="453"/>
      <c r="G18" s="454"/>
      <c r="H18" s="122"/>
    </row>
    <row r="19" spans="1:8" s="38" customFormat="1" ht="18" customHeight="1">
      <c r="A19" s="64">
        <v>11</v>
      </c>
      <c r="B19" s="407" t="s">
        <v>337</v>
      </c>
      <c r="C19" s="450"/>
      <c r="D19" s="450"/>
      <c r="E19" s="458">
        <f>E16*E17</f>
        <v>36.228407001113595</v>
      </c>
      <c r="F19" s="459"/>
      <c r="G19" s="460"/>
      <c r="H19" s="122"/>
    </row>
    <row r="20" spans="1:8" s="38" customFormat="1" ht="18" customHeight="1">
      <c r="A20" s="64"/>
      <c r="B20" s="60"/>
      <c r="C20" s="60"/>
      <c r="D20" s="60"/>
      <c r="E20" s="60"/>
      <c r="F20" s="60"/>
      <c r="G20" s="60"/>
      <c r="H20" s="60"/>
    </row>
  </sheetData>
  <sheetProtection password="C5CB" sheet="1" selectLockedCells="1"/>
  <protectedRanges>
    <protectedRange sqref="H7" name="Range1_1_1"/>
    <protectedRange sqref="C7:G7" name="Range1_1_1_1"/>
  </protectedRanges>
  <mergeCells count="20">
    <mergeCell ref="B19:D19"/>
    <mergeCell ref="B18:D18"/>
    <mergeCell ref="B17:D17"/>
    <mergeCell ref="B16:D16"/>
    <mergeCell ref="E19:G19"/>
    <mergeCell ref="E18:G18"/>
    <mergeCell ref="E17:G17"/>
    <mergeCell ref="E16:G16"/>
    <mergeCell ref="B15:D15"/>
    <mergeCell ref="B7:G7"/>
    <mergeCell ref="B8:D8"/>
    <mergeCell ref="E12:G12"/>
    <mergeCell ref="B12:D12"/>
    <mergeCell ref="E13:G13"/>
    <mergeCell ref="B13:D13"/>
    <mergeCell ref="B4:H4"/>
    <mergeCell ref="B14:D14"/>
    <mergeCell ref="B9:D9"/>
    <mergeCell ref="B10:D10"/>
    <mergeCell ref="B11:D11"/>
  </mergeCells>
  <phoneticPr fontId="8" type="noConversion"/>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_______________________________________________________________________________</oddHeader>
    <oddFooter>&amp;L&amp;"-,Regular"&amp;8_________________________________________________________________________________ 
NZ Transport Agency’s Economic evaluation manual 
Effective from Jul 2013</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J80"/>
  <sheetViews>
    <sheetView topLeftCell="A4" zoomScaleNormal="100" workbookViewId="0">
      <selection activeCell="G16" sqref="G16"/>
    </sheetView>
  </sheetViews>
  <sheetFormatPr defaultColWidth="9.140625" defaultRowHeight="12.75"/>
  <cols>
    <col min="1" max="9" width="10.7109375" style="38" customWidth="1"/>
    <col min="10" max="16384" width="9.140625" style="38"/>
  </cols>
  <sheetData>
    <row r="1" spans="1:10" s="47" customFormat="1" ht="16.5" customHeight="1">
      <c r="J1" s="41" t="s">
        <v>359</v>
      </c>
    </row>
    <row r="2" spans="1:10" ht="19.5" customHeight="1">
      <c r="A2" s="82" t="s">
        <v>402</v>
      </c>
      <c r="B2" s="41"/>
      <c r="C2" s="41"/>
      <c r="D2" s="41"/>
      <c r="H2" s="127" t="str">
        <f>'SP11-1'!$L$2</f>
        <v>Spreadsheet v 3 (27-March-14)</v>
      </c>
      <c r="J2" s="139" t="s">
        <v>360</v>
      </c>
    </row>
    <row r="3" spans="1:10" s="47" customFormat="1" ht="11.25" customHeight="1">
      <c r="A3" s="55" t="s">
        <v>314</v>
      </c>
      <c r="B3" s="41"/>
      <c r="C3" s="41"/>
      <c r="D3" s="41"/>
    </row>
    <row r="4" spans="1:10" s="47" customFormat="1" ht="11.25" customHeight="1" thickBot="1">
      <c r="A4" s="41"/>
      <c r="B4" s="41"/>
      <c r="C4" s="41"/>
      <c r="D4" s="41"/>
      <c r="E4" s="41"/>
      <c r="F4" s="41"/>
      <c r="G4" s="41"/>
      <c r="H4" s="41"/>
      <c r="I4" s="41"/>
    </row>
    <row r="5" spans="1:10" s="47" customFormat="1" ht="18.75" customHeight="1" thickBot="1">
      <c r="A5" s="200" t="s">
        <v>38</v>
      </c>
      <c r="B5" s="200"/>
      <c r="C5" s="200"/>
      <c r="D5" s="200"/>
      <c r="E5" s="201" t="s">
        <v>187</v>
      </c>
      <c r="F5" s="201">
        <f>'SP11-1'!I25</f>
        <v>2015</v>
      </c>
      <c r="G5" s="200"/>
      <c r="H5" s="200"/>
      <c r="I5" s="200"/>
    </row>
    <row r="6" spans="1:10" s="47" customFormat="1" ht="18.75" customHeight="1" thickBot="1">
      <c r="A6" s="200" t="s">
        <v>39</v>
      </c>
      <c r="B6" s="200"/>
      <c r="C6" s="200"/>
      <c r="D6" s="200"/>
      <c r="E6" s="201" t="s">
        <v>187</v>
      </c>
      <c r="F6" s="201">
        <f>'SP11-1'!I31</f>
        <v>2014</v>
      </c>
      <c r="G6" s="200"/>
      <c r="H6" s="200"/>
      <c r="I6" s="200"/>
    </row>
    <row r="7" spans="1:10" s="47" customFormat="1" ht="18.75" customHeight="1" thickBot="1">
      <c r="A7" s="200"/>
      <c r="B7" s="200"/>
      <c r="C7" s="200"/>
      <c r="D7" s="200"/>
      <c r="E7" s="200"/>
      <c r="F7" s="200"/>
      <c r="G7" s="200"/>
      <c r="H7" s="200"/>
      <c r="I7" s="200"/>
    </row>
    <row r="8" spans="1:10" s="47" customFormat="1" ht="30" customHeight="1" thickBot="1">
      <c r="A8" s="464" t="s">
        <v>623</v>
      </c>
      <c r="B8" s="464"/>
      <c r="C8" s="464"/>
      <c r="D8" s="464"/>
      <c r="E8" s="202" t="s">
        <v>302</v>
      </c>
      <c r="F8" s="203" t="s">
        <v>40</v>
      </c>
      <c r="G8" s="203" t="s">
        <v>41</v>
      </c>
      <c r="H8" s="203" t="s">
        <v>42</v>
      </c>
      <c r="I8" s="203" t="s">
        <v>624</v>
      </c>
    </row>
    <row r="9" spans="1:10" s="47" customFormat="1" ht="18.75" customHeight="1" thickBot="1">
      <c r="A9" s="465" t="s">
        <v>622</v>
      </c>
      <c r="B9" s="465"/>
      <c r="C9" s="465"/>
      <c r="D9" s="465"/>
      <c r="E9" s="465"/>
      <c r="F9" s="465"/>
      <c r="G9" s="465"/>
      <c r="H9" s="465"/>
      <c r="I9" s="465"/>
    </row>
    <row r="10" spans="1:10" s="47" customFormat="1" ht="18.75" customHeight="1" thickBot="1">
      <c r="A10" s="218" t="s">
        <v>379</v>
      </c>
      <c r="B10" s="218"/>
      <c r="C10" s="216"/>
      <c r="D10" s="217"/>
      <c r="E10" s="204"/>
      <c r="F10" s="204"/>
      <c r="G10" s="204"/>
      <c r="H10" s="204"/>
      <c r="I10" s="204"/>
    </row>
    <row r="11" spans="1:10" s="47" customFormat="1" ht="18.75" customHeight="1" thickBot="1">
      <c r="A11" s="218" t="s">
        <v>380</v>
      </c>
      <c r="B11" s="218"/>
      <c r="C11" s="216"/>
      <c r="D11" s="217"/>
      <c r="E11" s="204"/>
      <c r="F11" s="204">
        <v>1540889</v>
      </c>
      <c r="G11" s="204">
        <v>1540889</v>
      </c>
      <c r="H11" s="204"/>
      <c r="I11" s="204"/>
    </row>
    <row r="12" spans="1:10" s="47" customFormat="1" ht="18.75" customHeight="1" thickBot="1">
      <c r="A12" s="218" t="s">
        <v>540</v>
      </c>
      <c r="B12" s="218"/>
      <c r="C12" s="216"/>
      <c r="D12" s="217"/>
      <c r="E12" s="204"/>
      <c r="F12" s="204">
        <v>60204</v>
      </c>
      <c r="G12" s="204">
        <v>60204</v>
      </c>
      <c r="H12" s="204"/>
      <c r="I12" s="204"/>
    </row>
    <row r="13" spans="1:10" s="47" customFormat="1" ht="18.75" customHeight="1" thickBot="1">
      <c r="A13" s="465" t="s">
        <v>625</v>
      </c>
      <c r="B13" s="465"/>
      <c r="C13" s="465"/>
      <c r="D13" s="465"/>
      <c r="E13" s="205">
        <f>SUM(E10:E12)</f>
        <v>0</v>
      </c>
      <c r="F13" s="205">
        <f>SUM(F10:F12)</f>
        <v>1601093</v>
      </c>
      <c r="G13" s="205">
        <f>SUM(G10:G12)</f>
        <v>1601093</v>
      </c>
      <c r="H13" s="205">
        <f>SUM(H10:H12)</f>
        <v>0</v>
      </c>
      <c r="I13" s="205">
        <f>SUM(I10:I12)</f>
        <v>0</v>
      </c>
    </row>
    <row r="14" spans="1:10" s="47" customFormat="1" ht="18.75" customHeight="1" thickBot="1">
      <c r="A14" s="465" t="s">
        <v>497</v>
      </c>
      <c r="B14" s="465"/>
      <c r="C14" s="465"/>
      <c r="D14" s="465"/>
      <c r="E14" s="465"/>
      <c r="F14" s="465"/>
      <c r="G14" s="465"/>
      <c r="H14" s="465"/>
      <c r="I14" s="465"/>
    </row>
    <row r="15" spans="1:10" s="47" customFormat="1" ht="18.75" customHeight="1" thickBot="1">
      <c r="A15" s="219" t="s">
        <v>543</v>
      </c>
      <c r="B15" s="219"/>
      <c r="C15" s="219"/>
      <c r="D15" s="219"/>
      <c r="E15" s="204"/>
      <c r="F15" s="204">
        <v>493256</v>
      </c>
      <c r="G15" s="204">
        <v>450486</v>
      </c>
      <c r="H15" s="204"/>
      <c r="I15" s="204"/>
    </row>
    <row r="16" spans="1:10" s="47" customFormat="1" ht="18.75" customHeight="1" thickBot="1">
      <c r="A16" s="219" t="s">
        <v>315</v>
      </c>
      <c r="B16" s="219"/>
      <c r="C16" s="219"/>
      <c r="D16" s="219"/>
      <c r="E16" s="204"/>
      <c r="F16" s="204">
        <v>35574</v>
      </c>
      <c r="G16" s="204">
        <v>129435</v>
      </c>
      <c r="H16" s="204"/>
      <c r="I16" s="204"/>
    </row>
    <row r="17" spans="1:9" s="47" customFormat="1" ht="18.75" customHeight="1" thickBot="1">
      <c r="A17" s="465" t="s">
        <v>626</v>
      </c>
      <c r="B17" s="465"/>
      <c r="C17" s="465"/>
      <c r="D17" s="465"/>
      <c r="E17" s="205">
        <f>SUM(E15:E16)</f>
        <v>0</v>
      </c>
      <c r="F17" s="205">
        <f>SUM(F15:F16)</f>
        <v>528830</v>
      </c>
      <c r="G17" s="205">
        <f>SUM(G15:G16)</f>
        <v>579921</v>
      </c>
      <c r="H17" s="205">
        <f>SUM(H15:H16)</f>
        <v>0</v>
      </c>
      <c r="I17" s="205">
        <f>SUM(I15:I16)</f>
        <v>0</v>
      </c>
    </row>
    <row r="18" spans="1:9" s="47" customFormat="1" ht="18.75" customHeight="1" thickBot="1">
      <c r="A18" s="206"/>
      <c r="B18" s="206"/>
      <c r="C18" s="206"/>
      <c r="D18" s="206"/>
      <c r="E18" s="206"/>
      <c r="F18" s="206"/>
      <c r="G18" s="206"/>
      <c r="H18" s="206"/>
      <c r="I18" s="206"/>
    </row>
    <row r="19" spans="1:9" s="47" customFormat="1" ht="18.75" customHeight="1" thickBot="1">
      <c r="A19" s="467" t="s">
        <v>627</v>
      </c>
      <c r="B19" s="467"/>
      <c r="C19" s="467"/>
      <c r="D19" s="467"/>
      <c r="E19" s="207"/>
      <c r="F19" s="208">
        <f>IF(F17=0,0,(F13-$E13)/(F17-$E17))</f>
        <v>3.0276137889302799</v>
      </c>
      <c r="G19" s="208">
        <f>IF(G17=0,0,(G13-$E13)/(G17-$E17))</f>
        <v>2.7608812234769911</v>
      </c>
      <c r="H19" s="208">
        <f>IF(H17=0,0,(H13-$E13)/(H17-$E17))</f>
        <v>0</v>
      </c>
      <c r="I19" s="208">
        <f>IF(I17=0,0,(I13-$E13)/(I17-$E17))</f>
        <v>0</v>
      </c>
    </row>
    <row r="20" spans="1:9" s="47" customFormat="1" ht="18.75" customHeight="1" thickBot="1">
      <c r="A20" s="207"/>
      <c r="B20" s="207"/>
      <c r="C20" s="207"/>
      <c r="D20" s="207"/>
      <c r="E20" s="207"/>
      <c r="F20" s="207"/>
      <c r="G20" s="207"/>
      <c r="H20" s="207"/>
      <c r="I20" s="207"/>
    </row>
    <row r="21" spans="1:9" s="47" customFormat="1" ht="18.75" customHeight="1" thickBot="1">
      <c r="A21" s="209" t="s">
        <v>313</v>
      </c>
      <c r="B21" s="207"/>
      <c r="C21" s="207"/>
      <c r="D21" s="207"/>
      <c r="E21" s="468"/>
      <c r="F21" s="468"/>
      <c r="G21" s="207"/>
      <c r="H21" s="207"/>
      <c r="I21" s="207"/>
    </row>
    <row r="22" spans="1:9" s="47" customFormat="1" ht="18.75" customHeight="1" thickBot="1">
      <c r="A22" s="207"/>
      <c r="B22" s="207"/>
      <c r="C22" s="207"/>
      <c r="D22" s="207"/>
      <c r="E22" s="207"/>
      <c r="F22" s="207"/>
      <c r="G22" s="207"/>
      <c r="H22" s="207"/>
      <c r="I22" s="207"/>
    </row>
    <row r="23" spans="1:9" s="47" customFormat="1" ht="18.75" customHeight="1" thickBot="1">
      <c r="A23" s="41"/>
      <c r="B23" s="41"/>
      <c r="C23" s="41"/>
      <c r="D23" s="41"/>
      <c r="E23" s="41"/>
      <c r="F23" s="41"/>
      <c r="G23" s="41"/>
      <c r="H23" s="41"/>
      <c r="I23" s="41"/>
    </row>
    <row r="24" spans="1:9" s="47" customFormat="1" ht="18.75" customHeight="1" thickBot="1">
      <c r="A24" s="466" t="s">
        <v>43</v>
      </c>
      <c r="B24" s="466"/>
      <c r="C24" s="466"/>
      <c r="D24" s="466" t="s">
        <v>44</v>
      </c>
      <c r="E24" s="466"/>
      <c r="F24" s="466"/>
      <c r="G24" s="466" t="s">
        <v>45</v>
      </c>
      <c r="H24" s="466"/>
      <c r="I24" s="466"/>
    </row>
    <row r="25" spans="1:9" s="47" customFormat="1" ht="60" customHeight="1" thickBot="1">
      <c r="A25" s="210" t="s">
        <v>32</v>
      </c>
      <c r="B25" s="210" t="s">
        <v>338</v>
      </c>
      <c r="C25" s="210" t="s">
        <v>339</v>
      </c>
      <c r="D25" s="210" t="s">
        <v>32</v>
      </c>
      <c r="E25" s="210" t="s">
        <v>340</v>
      </c>
      <c r="F25" s="210" t="s">
        <v>341</v>
      </c>
      <c r="G25" s="210" t="s">
        <v>342</v>
      </c>
      <c r="H25" s="210" t="s">
        <v>343</v>
      </c>
      <c r="I25" s="211" t="s">
        <v>628</v>
      </c>
    </row>
    <row r="26" spans="1:9" s="47" customFormat="1" ht="18.75" customHeight="1" thickBot="1">
      <c r="A26" s="212"/>
      <c r="B26" s="204"/>
      <c r="C26" s="204"/>
      <c r="D26" s="212"/>
      <c r="E26" s="212"/>
      <c r="F26" s="204"/>
      <c r="G26" s="213">
        <f t="shared" ref="G26:H29" si="0">E26-B26</f>
        <v>0</v>
      </c>
      <c r="H26" s="213">
        <f t="shared" si="0"/>
        <v>0</v>
      </c>
      <c r="I26" s="214">
        <f>IF(G26=0,0,H26/G26)</f>
        <v>0</v>
      </c>
    </row>
    <row r="27" spans="1:9" s="47" customFormat="1" ht="18.75" customHeight="1" thickBot="1">
      <c r="A27" s="212"/>
      <c r="B27" s="204"/>
      <c r="C27" s="204"/>
      <c r="D27" s="212"/>
      <c r="E27" s="204"/>
      <c r="F27" s="204"/>
      <c r="G27" s="213">
        <f t="shared" si="0"/>
        <v>0</v>
      </c>
      <c r="H27" s="213">
        <f t="shared" si="0"/>
        <v>0</v>
      </c>
      <c r="I27" s="214">
        <f>IF(G27=0,0,H27/G27)</f>
        <v>0</v>
      </c>
    </row>
    <row r="28" spans="1:9" s="47" customFormat="1" ht="18.75" customHeight="1" thickBot="1">
      <c r="A28" s="212"/>
      <c r="B28" s="204"/>
      <c r="C28" s="204"/>
      <c r="D28" s="212"/>
      <c r="E28" s="204"/>
      <c r="F28" s="204"/>
      <c r="G28" s="213">
        <f t="shared" si="0"/>
        <v>0</v>
      </c>
      <c r="H28" s="213">
        <f t="shared" si="0"/>
        <v>0</v>
      </c>
      <c r="I28" s="214">
        <f>IF(G28=0,0,H28/G28)</f>
        <v>0</v>
      </c>
    </row>
    <row r="29" spans="1:9" s="47" customFormat="1" ht="18.75" customHeight="1" thickBot="1">
      <c r="A29" s="212"/>
      <c r="B29" s="204"/>
      <c r="C29" s="204"/>
      <c r="D29" s="212"/>
      <c r="E29" s="204"/>
      <c r="F29" s="204"/>
      <c r="G29" s="213">
        <f t="shared" si="0"/>
        <v>0</v>
      </c>
      <c r="H29" s="213">
        <f t="shared" si="0"/>
        <v>0</v>
      </c>
      <c r="I29" s="214">
        <f>IF(G29=0,0,H29/G29)</f>
        <v>0</v>
      </c>
    </row>
    <row r="30" spans="1:9" s="47" customFormat="1" ht="18.75" customHeight="1" thickBot="1">
      <c r="A30" s="215"/>
      <c r="B30" s="215"/>
      <c r="C30" s="215"/>
      <c r="D30" s="215"/>
      <c r="E30" s="215"/>
      <c r="F30" s="215"/>
      <c r="G30" s="215"/>
      <c r="H30" s="215"/>
      <c r="I30" s="200"/>
    </row>
    <row r="31" spans="1:9" s="47" customFormat="1" ht="13.5" customHeight="1">
      <c r="A31" s="41"/>
      <c r="B31" s="41"/>
      <c r="C31" s="41"/>
      <c r="D31" s="41"/>
    </row>
    <row r="32" spans="1:9" s="47" customFormat="1" ht="13.5" customHeight="1">
      <c r="A32" s="41"/>
      <c r="B32" s="41"/>
      <c r="C32" s="41"/>
      <c r="D32" s="41"/>
    </row>
    <row r="33" spans="1:4" s="47" customFormat="1" ht="13.5" customHeight="1">
      <c r="A33" s="41"/>
      <c r="B33" s="41"/>
      <c r="C33" s="41"/>
      <c r="D33" s="41"/>
    </row>
    <row r="34" spans="1:4" s="47" customFormat="1" ht="13.5" customHeight="1">
      <c r="A34" s="41"/>
      <c r="B34" s="41"/>
      <c r="C34" s="41"/>
      <c r="D34" s="41"/>
    </row>
    <row r="35" spans="1:4" s="47" customFormat="1" ht="13.5" customHeight="1">
      <c r="A35" s="41"/>
      <c r="B35" s="41"/>
      <c r="C35" s="41"/>
      <c r="D35" s="41"/>
    </row>
    <row r="36" spans="1:4" s="47" customFormat="1" ht="13.5" customHeight="1">
      <c r="A36" s="41"/>
      <c r="B36" s="41"/>
      <c r="C36" s="41"/>
      <c r="D36" s="41"/>
    </row>
    <row r="37" spans="1:4" s="47" customFormat="1" ht="13.5" customHeight="1">
      <c r="A37" s="41"/>
      <c r="B37" s="41"/>
      <c r="C37" s="41"/>
      <c r="D37" s="41"/>
    </row>
    <row r="38" spans="1:4" s="47" customFormat="1" ht="13.5" customHeight="1">
      <c r="A38" s="41"/>
      <c r="B38" s="41"/>
      <c r="C38" s="41"/>
      <c r="D38" s="41"/>
    </row>
    <row r="39" spans="1:4" s="47" customFormat="1" ht="13.5" customHeight="1">
      <c r="A39" s="41"/>
      <c r="B39" s="41"/>
      <c r="C39" s="41"/>
      <c r="D39" s="41"/>
    </row>
    <row r="40" spans="1:4" s="47" customFormat="1" ht="13.5" customHeight="1">
      <c r="A40" s="41"/>
      <c r="B40" s="41"/>
      <c r="C40" s="41"/>
      <c r="D40" s="41"/>
    </row>
    <row r="41" spans="1:4" s="47" customFormat="1" ht="13.5" customHeight="1">
      <c r="A41" s="41"/>
      <c r="B41" s="41"/>
      <c r="C41" s="41"/>
      <c r="D41" s="41"/>
    </row>
    <row r="42" spans="1:4">
      <c r="A42" s="41"/>
      <c r="B42" s="41"/>
      <c r="C42" s="41"/>
      <c r="D42" s="41"/>
    </row>
    <row r="43" spans="1:4">
      <c r="A43" s="41"/>
      <c r="B43" s="41"/>
      <c r="C43" s="41"/>
      <c r="D43" s="41"/>
    </row>
    <row r="44" spans="1:4">
      <c r="A44" s="41"/>
      <c r="B44" s="41"/>
      <c r="C44" s="41"/>
      <c r="D44" s="41"/>
    </row>
    <row r="45" spans="1:4">
      <c r="A45" s="41"/>
      <c r="B45" s="41"/>
      <c r="C45" s="41"/>
      <c r="D45" s="41"/>
    </row>
    <row r="46" spans="1:4">
      <c r="A46" s="41"/>
      <c r="B46" s="41"/>
      <c r="C46" s="41"/>
      <c r="D46" s="41"/>
    </row>
    <row r="47" spans="1:4">
      <c r="A47" s="41"/>
      <c r="B47" s="41"/>
      <c r="C47" s="41"/>
      <c r="D47" s="41"/>
    </row>
    <row r="48" spans="1:4">
      <c r="A48" s="41"/>
      <c r="B48" s="41"/>
      <c r="C48" s="41"/>
      <c r="D48" s="41"/>
    </row>
    <row r="49" spans="1:4">
      <c r="A49" s="41"/>
      <c r="B49" s="41"/>
      <c r="C49" s="41"/>
      <c r="D49" s="41"/>
    </row>
    <row r="50" spans="1:4">
      <c r="A50" s="41"/>
      <c r="B50" s="41"/>
      <c r="C50" s="41"/>
      <c r="D50" s="41"/>
    </row>
    <row r="51" spans="1:4">
      <c r="A51" s="41"/>
      <c r="B51" s="41"/>
      <c r="C51" s="41"/>
      <c r="D51" s="41"/>
    </row>
    <row r="52" spans="1:4">
      <c r="A52" s="41"/>
      <c r="B52" s="41"/>
      <c r="C52" s="41"/>
      <c r="D52" s="41"/>
    </row>
    <row r="53" spans="1:4">
      <c r="A53" s="41"/>
      <c r="B53" s="41"/>
      <c r="C53" s="41"/>
      <c r="D53" s="41"/>
    </row>
    <row r="54" spans="1:4">
      <c r="A54" s="41"/>
      <c r="B54" s="41"/>
      <c r="C54" s="41"/>
      <c r="D54" s="41"/>
    </row>
    <row r="55" spans="1:4">
      <c r="A55" s="41"/>
      <c r="B55" s="41"/>
      <c r="C55" s="41"/>
      <c r="D55" s="41"/>
    </row>
    <row r="56" spans="1:4">
      <c r="A56" s="41"/>
      <c r="B56" s="41"/>
      <c r="C56" s="41"/>
      <c r="D56" s="41"/>
    </row>
    <row r="57" spans="1:4">
      <c r="A57" s="41"/>
      <c r="B57" s="41"/>
      <c r="C57" s="41"/>
      <c r="D57" s="41"/>
    </row>
    <row r="58" spans="1:4">
      <c r="A58" s="41"/>
      <c r="B58" s="41"/>
      <c r="C58" s="41"/>
      <c r="D58" s="41"/>
    </row>
    <row r="59" spans="1:4">
      <c r="A59" s="41"/>
      <c r="B59" s="41"/>
      <c r="C59" s="41"/>
      <c r="D59" s="41"/>
    </row>
    <row r="60" spans="1:4">
      <c r="A60" s="41"/>
      <c r="B60" s="41"/>
      <c r="C60" s="41"/>
      <c r="D60" s="41"/>
    </row>
    <row r="61" spans="1:4">
      <c r="A61" s="41"/>
      <c r="B61" s="41"/>
      <c r="C61" s="41"/>
      <c r="D61" s="41"/>
    </row>
    <row r="62" spans="1:4">
      <c r="A62" s="41"/>
      <c r="B62" s="41"/>
      <c r="C62" s="41"/>
      <c r="D62" s="41"/>
    </row>
    <row r="63" spans="1:4">
      <c r="A63" s="41"/>
      <c r="B63" s="41"/>
      <c r="C63" s="41"/>
      <c r="D63" s="41"/>
    </row>
    <row r="64" spans="1:4">
      <c r="A64" s="41"/>
      <c r="B64" s="41"/>
      <c r="C64" s="41"/>
      <c r="D64" s="41"/>
    </row>
    <row r="65" spans="1:4">
      <c r="A65" s="41"/>
      <c r="B65" s="41"/>
      <c r="C65" s="41"/>
      <c r="D65" s="41"/>
    </row>
    <row r="66" spans="1:4">
      <c r="A66" s="41"/>
      <c r="B66" s="41"/>
      <c r="C66" s="41"/>
      <c r="D66" s="41"/>
    </row>
    <row r="67" spans="1:4">
      <c r="A67" s="41"/>
      <c r="B67" s="41"/>
      <c r="C67" s="41"/>
      <c r="D67" s="41"/>
    </row>
    <row r="68" spans="1:4">
      <c r="A68" s="41"/>
      <c r="B68" s="41"/>
      <c r="C68" s="41"/>
      <c r="D68" s="41"/>
    </row>
    <row r="69" spans="1:4">
      <c r="A69" s="41"/>
      <c r="B69" s="41"/>
      <c r="C69" s="41"/>
      <c r="D69" s="41"/>
    </row>
    <row r="70" spans="1:4">
      <c r="A70" s="41"/>
      <c r="B70" s="41"/>
      <c r="C70" s="41"/>
      <c r="D70" s="41"/>
    </row>
    <row r="71" spans="1:4">
      <c r="A71" s="41"/>
      <c r="B71" s="41"/>
      <c r="C71" s="41"/>
      <c r="D71" s="41"/>
    </row>
    <row r="72" spans="1:4">
      <c r="A72" s="41"/>
      <c r="B72" s="41"/>
      <c r="C72" s="41"/>
      <c r="D72" s="41"/>
    </row>
    <row r="73" spans="1:4">
      <c r="A73" s="41"/>
      <c r="B73" s="41"/>
      <c r="C73" s="41"/>
      <c r="D73" s="41"/>
    </row>
    <row r="74" spans="1:4">
      <c r="A74" s="41"/>
      <c r="B74" s="41"/>
      <c r="C74" s="41"/>
      <c r="D74" s="41"/>
    </row>
    <row r="75" spans="1:4">
      <c r="A75" s="41"/>
      <c r="B75" s="41"/>
      <c r="C75" s="41"/>
      <c r="D75" s="41"/>
    </row>
    <row r="76" spans="1:4">
      <c r="A76" s="41"/>
      <c r="B76" s="41"/>
      <c r="C76" s="41"/>
      <c r="D76" s="41"/>
    </row>
    <row r="77" spans="1:4">
      <c r="A77" s="41"/>
      <c r="B77" s="41"/>
      <c r="C77" s="41"/>
      <c r="D77" s="41"/>
    </row>
    <row r="78" spans="1:4">
      <c r="A78" s="41"/>
      <c r="B78" s="41"/>
      <c r="C78" s="41"/>
      <c r="D78" s="41"/>
    </row>
    <row r="79" spans="1:4">
      <c r="A79" s="41"/>
      <c r="B79" s="41"/>
      <c r="C79" s="41"/>
      <c r="D79" s="41"/>
    </row>
    <row r="80" spans="1:4">
      <c r="A80" s="41"/>
      <c r="B80" s="41"/>
      <c r="C80" s="41"/>
      <c r="D80" s="41"/>
    </row>
  </sheetData>
  <sheetProtection password="C5CB" sheet="1" selectLockedCells="1"/>
  <protectedRanges>
    <protectedRange sqref="F5:F6" name="Range1_1"/>
    <protectedRange sqref="C5:D5 G5:I5" name="Range1_1_1_2"/>
    <protectedRange sqref="E26:I29" name="Range5_1_1_1"/>
    <protectedRange sqref="G30:I30" name="Range10_1_1_1"/>
    <protectedRange sqref="E5:E6" name="Range1_1_1_1_1"/>
  </protectedRanges>
  <mergeCells count="10">
    <mergeCell ref="A8:D8"/>
    <mergeCell ref="A9:I9"/>
    <mergeCell ref="A13:D13"/>
    <mergeCell ref="A14:I14"/>
    <mergeCell ref="G24:I24"/>
    <mergeCell ref="A17:D17"/>
    <mergeCell ref="A19:D19"/>
    <mergeCell ref="E21:F21"/>
    <mergeCell ref="A24:C24"/>
    <mergeCell ref="D24:F24"/>
  </mergeCells>
  <phoneticPr fontId="8" type="noConversion"/>
  <printOptions horizontalCentered="1"/>
  <pageMargins left="0.74803149606299213" right="0.74803149606299213" top="0.98425196850393704" bottom="0.98425196850393704" header="0.51181102362204722" footer="0.51181102362204722"/>
  <pageSetup paperSize="9" scale="57" orientation="portrait" r:id="rId1"/>
  <headerFooter scaleWithDoc="0" alignWithMargins="0">
    <oddHeader>&amp;L&amp;"-,Regular"&amp;8&amp;F&amp;R&amp;"-,Regular"&amp;8&amp;A
________________________________________________________________________________</oddHeader>
    <oddFooter>&amp;L&amp;"-,Regular"&amp;8____________________________________________________________________________
NZ Transport Agency’s Economic evaluation manual 
Effective from Jul 2013</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337"/>
  <sheetViews>
    <sheetView workbookViewId="0">
      <selection activeCell="P9" sqref="P9"/>
    </sheetView>
  </sheetViews>
  <sheetFormatPr defaultRowHeight="12.75"/>
  <cols>
    <col min="3" max="8" width="10.28515625" customWidth="1"/>
    <col min="19" max="24" width="10.28515625" customWidth="1"/>
  </cols>
  <sheetData>
    <row r="1" spans="1:19" ht="13.5" thickBot="1">
      <c r="A1" s="136" t="s">
        <v>407</v>
      </c>
    </row>
    <row r="2" spans="1:19" ht="13.5" customHeight="1" thickBot="1">
      <c r="A2" s="9" t="s">
        <v>46</v>
      </c>
      <c r="B2" s="484" t="s">
        <v>47</v>
      </c>
      <c r="C2" s="485"/>
      <c r="D2" s="485"/>
      <c r="E2" s="485"/>
      <c r="F2" s="485"/>
      <c r="G2" s="485"/>
      <c r="H2" s="485"/>
      <c r="I2" s="485"/>
      <c r="J2" s="485"/>
      <c r="K2" s="485"/>
      <c r="L2" s="486"/>
    </row>
    <row r="3" spans="1:19" ht="46.5" thickBot="1">
      <c r="A3" s="10"/>
      <c r="B3" s="129">
        <v>0</v>
      </c>
      <c r="C3" s="130">
        <v>0.01</v>
      </c>
      <c r="D3" s="130">
        <v>0.02</v>
      </c>
      <c r="E3" s="130">
        <v>0.03</v>
      </c>
      <c r="F3" s="130">
        <v>0.04</v>
      </c>
      <c r="G3" s="130">
        <v>0.05</v>
      </c>
      <c r="H3" s="130">
        <v>0.06</v>
      </c>
      <c r="I3" s="130">
        <v>7.0000000000000007E-2</v>
      </c>
      <c r="J3" s="237">
        <v>0.08</v>
      </c>
      <c r="K3" s="237">
        <v>0.09</v>
      </c>
      <c r="L3" s="237">
        <v>0.1</v>
      </c>
      <c r="O3" s="10" t="s">
        <v>48</v>
      </c>
      <c r="R3" s="10" t="s">
        <v>49</v>
      </c>
    </row>
    <row r="4" spans="1:19" ht="35.25" thickBot="1">
      <c r="A4" s="10" t="s">
        <v>48</v>
      </c>
      <c r="B4" s="131">
        <v>0.83</v>
      </c>
      <c r="C4" s="11">
        <v>0.86</v>
      </c>
      <c r="D4" s="11">
        <v>0.9</v>
      </c>
      <c r="E4" s="11">
        <v>0.93</v>
      </c>
      <c r="F4" s="11">
        <v>0.96</v>
      </c>
      <c r="G4" s="11">
        <v>0.99</v>
      </c>
      <c r="H4" s="11">
        <v>1.03</v>
      </c>
      <c r="I4" s="234">
        <v>1.06</v>
      </c>
      <c r="J4" s="235">
        <v>1.0900000000000001</v>
      </c>
      <c r="K4" s="235">
        <v>1.1200000000000001</v>
      </c>
      <c r="L4" s="235">
        <v>1.1499999999999999</v>
      </c>
      <c r="O4" t="s">
        <v>367</v>
      </c>
      <c r="P4">
        <v>-1025641.02553216</v>
      </c>
      <c r="R4" t="s">
        <v>367</v>
      </c>
      <c r="S4">
        <v>288461.53930839401</v>
      </c>
    </row>
    <row r="5" spans="1:19" ht="46.5" thickBot="1">
      <c r="A5" s="10" t="s">
        <v>49</v>
      </c>
      <c r="B5" s="131">
        <v>0.95</v>
      </c>
      <c r="C5" s="11">
        <v>0.98</v>
      </c>
      <c r="D5" s="11">
        <v>1.02</v>
      </c>
      <c r="E5" s="11">
        <v>1.06</v>
      </c>
      <c r="F5" s="11">
        <v>1.1000000000000001</v>
      </c>
      <c r="G5" s="11">
        <v>1.1399999999999999</v>
      </c>
      <c r="H5" s="11">
        <v>1.17</v>
      </c>
      <c r="I5" s="234">
        <v>1.21</v>
      </c>
      <c r="J5" s="235">
        <v>1.24</v>
      </c>
      <c r="K5" s="236">
        <v>1.28</v>
      </c>
      <c r="L5" s="235">
        <v>1.31</v>
      </c>
      <c r="O5" t="s">
        <v>368</v>
      </c>
      <c r="P5">
        <v>179487.17946709899</v>
      </c>
      <c r="R5" t="s">
        <v>368</v>
      </c>
      <c r="S5">
        <v>-38170.1633182277</v>
      </c>
    </row>
    <row r="6" spans="1:19">
      <c r="A6" s="8"/>
      <c r="O6" t="s">
        <v>369</v>
      </c>
      <c r="P6">
        <v>-10839.1608369892</v>
      </c>
      <c r="R6" t="s">
        <v>369</v>
      </c>
      <c r="S6">
        <v>1126.1655100161399</v>
      </c>
    </row>
    <row r="7" spans="1:19">
      <c r="A7" s="137" t="s">
        <v>408</v>
      </c>
      <c r="B7" s="136" t="s">
        <v>409</v>
      </c>
      <c r="O7" t="s">
        <v>370</v>
      </c>
      <c r="P7">
        <v>258.62470849083599</v>
      </c>
      <c r="R7" t="s">
        <v>370</v>
      </c>
      <c r="S7">
        <v>22.290209587198198</v>
      </c>
    </row>
    <row r="8" spans="1:19">
      <c r="A8" t="str">
        <f>LOOKUP('SP11-6'!E9,{0,70},{"1","2"})</f>
        <v>1</v>
      </c>
      <c r="B8" s="132" t="str">
        <f>LOOKUP('SP11-6'!N9,{0,0.01,0.02,0.03,0.04,0.05,0.06,0.07,0.08,0.09,0.1},{"1","2","3","4","5","6","7","8","9","10","11"})</f>
        <v>1</v>
      </c>
      <c r="C8" s="138">
        <f ca="1">OFFSET(A3,A8,B8)</f>
        <v>0.83</v>
      </c>
      <c r="D8" s="8" t="s">
        <v>410</v>
      </c>
      <c r="O8" t="s">
        <v>371</v>
      </c>
      <c r="P8">
        <v>1.35641025976899</v>
      </c>
      <c r="R8" t="s">
        <v>371</v>
      </c>
      <c r="S8">
        <v>2.8017482530156799</v>
      </c>
    </row>
    <row r="9" spans="1:19">
      <c r="A9" s="43"/>
      <c r="O9" t="s">
        <v>372</v>
      </c>
      <c r="P9">
        <v>0.82996503496227902</v>
      </c>
      <c r="R9" t="s">
        <v>372</v>
      </c>
      <c r="S9">
        <v>0.94982517482707096</v>
      </c>
    </row>
    <row r="10" spans="1:19">
      <c r="A10" s="43"/>
      <c r="C10" s="42"/>
      <c r="D10" s="42"/>
      <c r="E10" s="42"/>
      <c r="F10" s="42"/>
      <c r="G10" s="42"/>
      <c r="H10" s="42"/>
      <c r="I10" s="42"/>
      <c r="K10" s="44"/>
    </row>
    <row r="11" spans="1:19" ht="19.5">
      <c r="A11" s="13" t="s">
        <v>69</v>
      </c>
      <c r="B11" s="13" t="s">
        <v>70</v>
      </c>
    </row>
    <row r="12" spans="1:19">
      <c r="A12" s="14" t="s">
        <v>71</v>
      </c>
      <c r="B12" s="14" t="s">
        <v>72</v>
      </c>
    </row>
    <row r="13" spans="1:19" ht="13.5" thickBot="1">
      <c r="A13" s="14" t="s">
        <v>73</v>
      </c>
    </row>
    <row r="14" spans="1:19">
      <c r="A14" s="478" t="s">
        <v>33</v>
      </c>
      <c r="B14" s="478" t="s">
        <v>74</v>
      </c>
      <c r="C14" s="15" t="s">
        <v>75</v>
      </c>
      <c r="D14" s="15" t="s">
        <v>77</v>
      </c>
    </row>
    <row r="15" spans="1:19" ht="24" thickBot="1">
      <c r="A15" s="479"/>
      <c r="B15" s="479"/>
      <c r="C15" s="16" t="s">
        <v>76</v>
      </c>
      <c r="D15" s="16" t="s">
        <v>76</v>
      </c>
    </row>
    <row r="16" spans="1:19" ht="13.5" thickBot="1">
      <c r="A16" s="17" t="s">
        <v>78</v>
      </c>
      <c r="B16" s="11" t="s">
        <v>51</v>
      </c>
      <c r="C16" s="11">
        <v>0.13</v>
      </c>
      <c r="D16" s="11">
        <v>0.87</v>
      </c>
    </row>
    <row r="17" spans="1:4" ht="23.25" thickBot="1">
      <c r="A17" s="17" t="s">
        <v>79</v>
      </c>
      <c r="B17" s="11" t="s">
        <v>37</v>
      </c>
      <c r="C17" s="11">
        <v>0.04</v>
      </c>
      <c r="D17" s="11">
        <v>0.96</v>
      </c>
    </row>
    <row r="18" spans="1:4" ht="34.5" thickBot="1">
      <c r="A18" s="17" t="s">
        <v>80</v>
      </c>
      <c r="B18" s="11" t="s">
        <v>52</v>
      </c>
      <c r="C18" s="11">
        <v>0.11</v>
      </c>
      <c r="D18" s="11">
        <v>0.89</v>
      </c>
    </row>
    <row r="19" spans="1:4" ht="34.5" thickBot="1">
      <c r="A19" s="17" t="s">
        <v>81</v>
      </c>
      <c r="B19" s="11" t="s">
        <v>53</v>
      </c>
      <c r="C19" s="11">
        <v>0.08</v>
      </c>
      <c r="D19" s="11">
        <v>0.92</v>
      </c>
    </row>
    <row r="20" spans="1:4" ht="23.25" thickBot="1">
      <c r="A20" s="17" t="s">
        <v>82</v>
      </c>
      <c r="B20" s="11" t="s">
        <v>54</v>
      </c>
      <c r="C20" s="11">
        <v>0.17</v>
      </c>
      <c r="D20" s="11">
        <v>0.83</v>
      </c>
    </row>
    <row r="21" spans="1:4" ht="23.25" thickBot="1">
      <c r="A21" s="17" t="s">
        <v>83</v>
      </c>
      <c r="B21" s="11" t="s">
        <v>84</v>
      </c>
      <c r="C21" s="11">
        <v>0.05</v>
      </c>
      <c r="D21" s="11">
        <v>0.95</v>
      </c>
    </row>
    <row r="22" spans="1:4" ht="23.25" thickBot="1">
      <c r="A22" s="17" t="s">
        <v>85</v>
      </c>
      <c r="B22" s="11" t="s">
        <v>86</v>
      </c>
      <c r="C22" s="11">
        <v>0.1</v>
      </c>
      <c r="D22" s="11">
        <v>0.9</v>
      </c>
    </row>
    <row r="23" spans="1:4" ht="34.5" thickBot="1">
      <c r="A23" s="17" t="s">
        <v>87</v>
      </c>
      <c r="B23" s="11" t="s">
        <v>88</v>
      </c>
      <c r="C23" s="11">
        <v>7.0000000000000007E-2</v>
      </c>
      <c r="D23" s="11">
        <v>0.93</v>
      </c>
    </row>
    <row r="24" spans="1:4" ht="34.5" thickBot="1">
      <c r="A24" s="17" t="s">
        <v>89</v>
      </c>
      <c r="B24" s="11" t="s">
        <v>90</v>
      </c>
      <c r="C24" s="11">
        <v>0.08</v>
      </c>
      <c r="D24" s="11">
        <v>0.92</v>
      </c>
    </row>
    <row r="25" spans="1:4" ht="45.75" thickBot="1">
      <c r="A25" s="17" t="s">
        <v>91</v>
      </c>
      <c r="B25" s="11" t="s">
        <v>92</v>
      </c>
      <c r="C25" s="11">
        <v>0.06</v>
      </c>
      <c r="D25" s="11">
        <v>0.94</v>
      </c>
    </row>
    <row r="26" spans="1:4" ht="23.25" thickBot="1">
      <c r="A26" s="17" t="s">
        <v>93</v>
      </c>
      <c r="B26" s="11" t="s">
        <v>94</v>
      </c>
      <c r="C26" s="11">
        <v>7.0000000000000007E-2</v>
      </c>
      <c r="D26" s="11">
        <v>0.93</v>
      </c>
    </row>
    <row r="27" spans="1:4" ht="23.25" thickBot="1">
      <c r="A27" s="17" t="s">
        <v>95</v>
      </c>
      <c r="B27" s="11" t="s">
        <v>96</v>
      </c>
      <c r="C27" s="11">
        <v>0.03</v>
      </c>
      <c r="D27" s="11">
        <v>0.97</v>
      </c>
    </row>
    <row r="28" spans="1:4" ht="34.5" thickBot="1">
      <c r="A28" s="17" t="s">
        <v>97</v>
      </c>
      <c r="B28" s="18"/>
      <c r="C28" s="11">
        <v>0.08</v>
      </c>
      <c r="D28" s="11">
        <v>0.92</v>
      </c>
    </row>
    <row r="29" spans="1:4">
      <c r="A29" s="8"/>
    </row>
    <row r="30" spans="1:4" ht="13.5" thickBot="1">
      <c r="A30" s="14" t="s">
        <v>98</v>
      </c>
      <c r="B30" s="14" t="s">
        <v>99</v>
      </c>
    </row>
    <row r="31" spans="1:4">
      <c r="A31" s="478" t="s">
        <v>33</v>
      </c>
      <c r="B31" s="478" t="s">
        <v>74</v>
      </c>
      <c r="C31" s="15" t="s">
        <v>75</v>
      </c>
      <c r="D31" s="15" t="s">
        <v>77</v>
      </c>
    </row>
    <row r="32" spans="1:4" ht="24" thickBot="1">
      <c r="A32" s="479"/>
      <c r="B32" s="479"/>
      <c r="C32" s="16" t="s">
        <v>76</v>
      </c>
      <c r="D32" s="16" t="s">
        <v>76</v>
      </c>
    </row>
    <row r="33" spans="1:4" ht="13.5" thickBot="1">
      <c r="A33" s="17" t="s">
        <v>78</v>
      </c>
      <c r="B33" s="11" t="s">
        <v>100</v>
      </c>
      <c r="C33" s="11">
        <v>0.24</v>
      </c>
      <c r="D33" s="11">
        <v>0.76</v>
      </c>
    </row>
    <row r="34" spans="1:4" ht="23.25" thickBot="1">
      <c r="A34" s="17" t="s">
        <v>79</v>
      </c>
      <c r="B34" s="11" t="s">
        <v>101</v>
      </c>
      <c r="C34" s="11">
        <v>0.1</v>
      </c>
      <c r="D34" s="11">
        <v>0.9</v>
      </c>
    </row>
    <row r="35" spans="1:4" ht="34.5" thickBot="1">
      <c r="A35" s="17" t="s">
        <v>102</v>
      </c>
      <c r="B35" s="11" t="s">
        <v>103</v>
      </c>
      <c r="C35" s="11">
        <v>0.2</v>
      </c>
      <c r="D35" s="11">
        <v>0.8</v>
      </c>
    </row>
    <row r="36" spans="1:4" ht="34.5" thickBot="1">
      <c r="A36" s="17" t="s">
        <v>81</v>
      </c>
      <c r="B36" s="11" t="s">
        <v>104</v>
      </c>
      <c r="C36" s="11">
        <v>0.14000000000000001</v>
      </c>
      <c r="D36" s="11">
        <v>0.86</v>
      </c>
    </row>
    <row r="37" spans="1:4" ht="23.25" thickBot="1">
      <c r="A37" s="17" t="s">
        <v>82</v>
      </c>
      <c r="B37" s="11" t="s">
        <v>105</v>
      </c>
      <c r="C37" s="11">
        <v>0.3</v>
      </c>
      <c r="D37" s="11">
        <v>0.7</v>
      </c>
    </row>
    <row r="38" spans="1:4" ht="23.25" thickBot="1">
      <c r="A38" s="17" t="s">
        <v>83</v>
      </c>
      <c r="B38" s="11" t="s">
        <v>84</v>
      </c>
      <c r="C38" s="11">
        <v>0.12</v>
      </c>
      <c r="D38" s="11">
        <v>0.88</v>
      </c>
    </row>
    <row r="39" spans="1:4" ht="23.25" thickBot="1">
      <c r="A39" s="17" t="s">
        <v>85</v>
      </c>
      <c r="B39" s="11" t="s">
        <v>86</v>
      </c>
      <c r="C39" s="11">
        <v>0.3</v>
      </c>
      <c r="D39" s="11">
        <v>0.7</v>
      </c>
    </row>
    <row r="40" spans="1:4" ht="34.5" thickBot="1">
      <c r="A40" s="17" t="s">
        <v>87</v>
      </c>
      <c r="B40" s="11" t="s">
        <v>88</v>
      </c>
      <c r="C40" s="11">
        <v>0.16</v>
      </c>
      <c r="D40" s="11">
        <v>0.84</v>
      </c>
    </row>
    <row r="41" spans="1:4" ht="34.5" thickBot="1">
      <c r="A41" s="17" t="s">
        <v>89</v>
      </c>
      <c r="B41" s="11" t="s">
        <v>90</v>
      </c>
      <c r="C41" s="11">
        <v>0.14000000000000001</v>
      </c>
      <c r="D41" s="11">
        <v>0.86</v>
      </c>
    </row>
    <row r="42" spans="1:4" ht="45.75" thickBot="1">
      <c r="A42" s="17" t="s">
        <v>91</v>
      </c>
      <c r="B42" s="11" t="s">
        <v>92</v>
      </c>
      <c r="C42" s="11">
        <v>0.15</v>
      </c>
      <c r="D42" s="11">
        <v>0.85</v>
      </c>
    </row>
    <row r="43" spans="1:4" ht="23.25" thickBot="1">
      <c r="A43" s="17" t="s">
        <v>93</v>
      </c>
      <c r="B43" s="11" t="s">
        <v>94</v>
      </c>
      <c r="C43" s="11">
        <v>0.21</v>
      </c>
      <c r="D43" s="11">
        <v>0.79</v>
      </c>
    </row>
    <row r="44" spans="1:4" ht="23.25" thickBot="1">
      <c r="A44" s="17" t="s">
        <v>95</v>
      </c>
      <c r="B44" s="11" t="s">
        <v>96</v>
      </c>
      <c r="C44" s="11">
        <v>0.09</v>
      </c>
      <c r="D44" s="11">
        <v>0.91</v>
      </c>
    </row>
    <row r="45" spans="1:4" ht="34.5" thickBot="1">
      <c r="A45" s="17" t="s">
        <v>97</v>
      </c>
      <c r="B45" s="18"/>
      <c r="C45" s="11">
        <v>0.18</v>
      </c>
      <c r="D45" s="11">
        <v>0.82</v>
      </c>
    </row>
    <row r="46" spans="1:4" ht="19.5">
      <c r="A46" s="13"/>
    </row>
    <row r="47" spans="1:4" ht="19.5">
      <c r="A47" s="13" t="s">
        <v>69</v>
      </c>
      <c r="B47" s="13" t="s">
        <v>70</v>
      </c>
    </row>
    <row r="48" spans="1:4" ht="13.5" thickBot="1">
      <c r="A48" s="14" t="s">
        <v>106</v>
      </c>
      <c r="B48" s="14" t="s">
        <v>107</v>
      </c>
    </row>
    <row r="49" spans="1:4">
      <c r="A49" s="478" t="s">
        <v>33</v>
      </c>
      <c r="B49" s="478" t="s">
        <v>74</v>
      </c>
      <c r="C49" s="15" t="s">
        <v>108</v>
      </c>
      <c r="D49" s="15" t="s">
        <v>109</v>
      </c>
    </row>
    <row r="50" spans="1:4" ht="24" thickBot="1">
      <c r="A50" s="479"/>
      <c r="B50" s="479"/>
      <c r="C50" s="16" t="s">
        <v>76</v>
      </c>
      <c r="D50" s="16" t="s">
        <v>76</v>
      </c>
    </row>
    <row r="51" spans="1:4" ht="13.5" thickBot="1">
      <c r="A51" s="17" t="s">
        <v>78</v>
      </c>
      <c r="B51" s="11" t="s">
        <v>51</v>
      </c>
      <c r="C51" s="11">
        <v>0.33</v>
      </c>
      <c r="D51" s="11">
        <v>0.67</v>
      </c>
    </row>
    <row r="52" spans="1:4" ht="23.25" thickBot="1">
      <c r="A52" s="17" t="s">
        <v>79</v>
      </c>
      <c r="B52" s="11" t="s">
        <v>37</v>
      </c>
      <c r="C52" s="11">
        <v>0.11</v>
      </c>
      <c r="D52" s="11">
        <v>0.89</v>
      </c>
    </row>
    <row r="53" spans="1:4" ht="34.5" thickBot="1">
      <c r="A53" s="17" t="s">
        <v>102</v>
      </c>
      <c r="B53" s="11" t="s">
        <v>52</v>
      </c>
      <c r="C53" s="11">
        <v>0.17</v>
      </c>
      <c r="D53" s="11">
        <v>0.83</v>
      </c>
    </row>
    <row r="54" spans="1:4" ht="34.5" thickBot="1">
      <c r="A54" s="17" t="s">
        <v>81</v>
      </c>
      <c r="B54" s="11" t="s">
        <v>53</v>
      </c>
      <c r="C54" s="11">
        <v>0.16</v>
      </c>
      <c r="D54" s="11">
        <v>0.84</v>
      </c>
    </row>
    <row r="55" spans="1:4" ht="23.25" thickBot="1">
      <c r="A55" s="17" t="s">
        <v>82</v>
      </c>
      <c r="B55" s="11" t="s">
        <v>54</v>
      </c>
      <c r="C55" s="11">
        <v>0.34</v>
      </c>
      <c r="D55" s="11">
        <v>0.66</v>
      </c>
    </row>
    <row r="56" spans="1:4" ht="23.25" thickBot="1">
      <c r="A56" s="17" t="s">
        <v>83</v>
      </c>
      <c r="B56" s="11" t="s">
        <v>55</v>
      </c>
      <c r="C56" s="11">
        <v>0.14000000000000001</v>
      </c>
      <c r="D56" s="11">
        <v>0.86</v>
      </c>
    </row>
    <row r="57" spans="1:4" ht="23.25" thickBot="1">
      <c r="A57" s="17" t="s">
        <v>85</v>
      </c>
      <c r="B57" s="11" t="s">
        <v>56</v>
      </c>
      <c r="C57" s="11">
        <v>0.45</v>
      </c>
      <c r="D57" s="11">
        <v>0.55000000000000004</v>
      </c>
    </row>
    <row r="58" spans="1:4" ht="34.5" thickBot="1">
      <c r="A58" s="17" t="s">
        <v>87</v>
      </c>
      <c r="B58" s="11" t="s">
        <v>57</v>
      </c>
      <c r="C58" s="11">
        <v>0.19</v>
      </c>
      <c r="D58" s="11">
        <v>0.81</v>
      </c>
    </row>
    <row r="59" spans="1:4" ht="34.5" thickBot="1">
      <c r="A59" s="17" t="s">
        <v>89</v>
      </c>
      <c r="B59" s="11" t="s">
        <v>58</v>
      </c>
      <c r="C59" s="11">
        <v>0.16</v>
      </c>
      <c r="D59" s="11">
        <v>0.84</v>
      </c>
    </row>
    <row r="60" spans="1:4" ht="45.75" thickBot="1">
      <c r="A60" s="17" t="s">
        <v>91</v>
      </c>
      <c r="B60" s="11" t="s">
        <v>59</v>
      </c>
      <c r="C60" s="11">
        <v>0.17</v>
      </c>
      <c r="D60" s="11">
        <v>0.83</v>
      </c>
    </row>
    <row r="61" spans="1:4" ht="23.25" thickBot="1">
      <c r="A61" s="17" t="s">
        <v>93</v>
      </c>
      <c r="B61" s="11" t="s">
        <v>60</v>
      </c>
      <c r="C61" s="11">
        <v>0.25</v>
      </c>
      <c r="D61" s="11">
        <v>0.75</v>
      </c>
    </row>
    <row r="62" spans="1:4" ht="23.25" thickBot="1">
      <c r="A62" s="17" t="s">
        <v>95</v>
      </c>
      <c r="B62" s="11" t="s">
        <v>61</v>
      </c>
      <c r="C62" s="11">
        <v>0.15</v>
      </c>
      <c r="D62" s="11">
        <v>0.85</v>
      </c>
    </row>
    <row r="63" spans="1:4" ht="34.5" thickBot="1">
      <c r="A63" s="17" t="s">
        <v>97</v>
      </c>
      <c r="B63" s="11"/>
      <c r="C63" s="11">
        <v>0.21</v>
      </c>
      <c r="D63" s="11">
        <v>0.79</v>
      </c>
    </row>
    <row r="64" spans="1:4" ht="13.5" thickBot="1">
      <c r="A64" s="14" t="s">
        <v>110</v>
      </c>
      <c r="B64" s="14" t="s">
        <v>111</v>
      </c>
    </row>
    <row r="65" spans="1:8" ht="13.5" thickBot="1">
      <c r="A65" s="20"/>
      <c r="B65" s="21"/>
      <c r="C65" s="22" t="s">
        <v>34</v>
      </c>
      <c r="D65" s="22" t="s">
        <v>35</v>
      </c>
      <c r="E65" s="22" t="s">
        <v>36</v>
      </c>
    </row>
    <row r="66" spans="1:8" ht="43.15" customHeight="1" thickBot="1">
      <c r="A66" s="480" t="s">
        <v>112</v>
      </c>
      <c r="B66" s="23" t="s">
        <v>113</v>
      </c>
      <c r="C66" s="482">
        <v>1</v>
      </c>
      <c r="D66" s="482">
        <v>1.5</v>
      </c>
      <c r="E66" s="23">
        <v>4.5</v>
      </c>
    </row>
    <row r="67" spans="1:8" ht="13.5" thickBot="1">
      <c r="A67" s="481"/>
      <c r="B67" s="23" t="s">
        <v>114</v>
      </c>
      <c r="C67" s="483"/>
      <c r="D67" s="483"/>
      <c r="E67" s="23">
        <v>2.75</v>
      </c>
    </row>
    <row r="68" spans="1:8" ht="88.9" customHeight="1" thickBot="1">
      <c r="A68" s="480" t="s">
        <v>115</v>
      </c>
      <c r="B68" s="23" t="s">
        <v>113</v>
      </c>
      <c r="C68" s="482">
        <v>1</v>
      </c>
      <c r="D68" s="482">
        <v>1.9</v>
      </c>
      <c r="E68" s="23">
        <v>7.5</v>
      </c>
    </row>
    <row r="69" spans="1:8" ht="13.5" thickBot="1">
      <c r="A69" s="481"/>
      <c r="B69" s="23" t="s">
        <v>114</v>
      </c>
      <c r="C69" s="483"/>
      <c r="D69" s="483"/>
      <c r="E69" s="23">
        <v>4.5</v>
      </c>
    </row>
    <row r="70" spans="1:8" ht="54.6" customHeight="1" thickBot="1">
      <c r="A70" s="480" t="s">
        <v>116</v>
      </c>
      <c r="B70" s="23" t="s">
        <v>113</v>
      </c>
      <c r="C70" s="482">
        <v>1</v>
      </c>
      <c r="D70" s="482">
        <v>2.2999999999999998</v>
      </c>
      <c r="E70" s="23">
        <v>13</v>
      </c>
    </row>
    <row r="71" spans="1:8" ht="13.5" thickBot="1">
      <c r="A71" s="481"/>
      <c r="B71" s="23" t="s">
        <v>114</v>
      </c>
      <c r="C71" s="483"/>
      <c r="D71" s="483"/>
      <c r="E71" s="23">
        <v>7.5</v>
      </c>
    </row>
    <row r="72" spans="1:8" ht="24" thickBot="1">
      <c r="A72" s="24" t="s">
        <v>117</v>
      </c>
      <c r="B72" s="23" t="s">
        <v>118</v>
      </c>
      <c r="C72" s="23">
        <v>1</v>
      </c>
      <c r="D72" s="23">
        <v>1.9</v>
      </c>
      <c r="E72" s="23">
        <v>1.9</v>
      </c>
    </row>
    <row r="73" spans="1:8" ht="13.5" thickBot="1">
      <c r="A73" s="24" t="s">
        <v>118</v>
      </c>
      <c r="B73" s="23" t="s">
        <v>118</v>
      </c>
      <c r="C73" s="23">
        <v>1</v>
      </c>
      <c r="D73" s="23">
        <v>1.7</v>
      </c>
      <c r="E73" s="23">
        <v>3.6</v>
      </c>
    </row>
    <row r="74" spans="1:8" ht="13.5" thickBot="1">
      <c r="A74" s="14" t="s">
        <v>119</v>
      </c>
      <c r="B74" s="14" t="s">
        <v>120</v>
      </c>
    </row>
    <row r="75" spans="1:8" ht="34.5" thickBot="1">
      <c r="A75" s="25" t="s">
        <v>121</v>
      </c>
      <c r="B75" s="12" t="s">
        <v>122</v>
      </c>
      <c r="C75" s="12" t="s">
        <v>123</v>
      </c>
      <c r="D75" s="12" t="s">
        <v>117</v>
      </c>
    </row>
    <row r="76" spans="1:8" ht="34.5" thickBot="1">
      <c r="A76" s="17" t="s">
        <v>62</v>
      </c>
      <c r="B76" s="26">
        <v>7</v>
      </c>
      <c r="C76" s="26">
        <v>18.5</v>
      </c>
      <c r="D76" s="26">
        <v>7</v>
      </c>
    </row>
    <row r="77" spans="1:8" ht="19.5">
      <c r="A77" s="13"/>
    </row>
    <row r="78" spans="1:8" ht="19.5">
      <c r="A78" s="13" t="s">
        <v>69</v>
      </c>
      <c r="B78" s="13" t="s">
        <v>70</v>
      </c>
    </row>
    <row r="79" spans="1:8" ht="13.5" thickBot="1">
      <c r="A79" s="14" t="s">
        <v>124</v>
      </c>
      <c r="B79" s="14" t="s">
        <v>125</v>
      </c>
    </row>
    <row r="80" spans="1:8" ht="34.15" customHeight="1" thickBot="1">
      <c r="A80" s="469" t="s">
        <v>126</v>
      </c>
      <c r="B80" s="471"/>
      <c r="C80" s="469" t="s">
        <v>127</v>
      </c>
      <c r="D80" s="470"/>
      <c r="E80" s="470"/>
      <c r="F80" s="470"/>
      <c r="G80" s="470"/>
      <c r="H80" s="471"/>
    </row>
    <row r="81" spans="1:31" ht="20.45" customHeight="1">
      <c r="A81" s="9" t="s">
        <v>33</v>
      </c>
      <c r="B81" s="9" t="s">
        <v>74</v>
      </c>
      <c r="C81" s="478" t="s">
        <v>63</v>
      </c>
      <c r="D81" s="478" t="s">
        <v>64</v>
      </c>
      <c r="E81" s="478" t="s">
        <v>65</v>
      </c>
      <c r="F81" s="478" t="s">
        <v>66</v>
      </c>
      <c r="G81" s="27" t="s">
        <v>128</v>
      </c>
      <c r="H81" s="478" t="s">
        <v>68</v>
      </c>
    </row>
    <row r="82" spans="1:31" ht="13.5" thickBot="1">
      <c r="A82" s="10"/>
      <c r="B82" s="10"/>
      <c r="C82" s="479"/>
      <c r="D82" s="479"/>
      <c r="E82" s="479"/>
      <c r="F82" s="479"/>
      <c r="G82" s="16" t="s">
        <v>129</v>
      </c>
      <c r="H82" s="479"/>
    </row>
    <row r="83" spans="1:31" ht="13.9" customHeight="1" thickBot="1">
      <c r="A83" s="17" t="s">
        <v>130</v>
      </c>
      <c r="B83">
        <v>1</v>
      </c>
      <c r="C83" s="28">
        <v>3100000</v>
      </c>
      <c r="D83" s="28">
        <v>3350000</v>
      </c>
      <c r="E83" s="28">
        <v>3100000</v>
      </c>
      <c r="F83" s="28">
        <v>3200000</v>
      </c>
      <c r="G83" s="28">
        <v>4100000</v>
      </c>
      <c r="H83" s="28">
        <v>3750000</v>
      </c>
      <c r="I83">
        <f>IF('SP11-6'!E7="",0,1)</f>
        <v>0</v>
      </c>
      <c r="J83" t="e">
        <f>VLOOKUP('SP11-6'!E7,K83:L95,2,FALSE)</f>
        <v>#N/A</v>
      </c>
      <c r="K83" s="17" t="s">
        <v>130</v>
      </c>
      <c r="L83">
        <v>1</v>
      </c>
      <c r="M83" t="e">
        <f>VLOOKUP('SP11-6'!N7,N83:O95,2,FALSE)</f>
        <v>#N/A</v>
      </c>
      <c r="N83" s="30" t="s">
        <v>63</v>
      </c>
      <c r="O83">
        <v>1</v>
      </c>
      <c r="AE83">
        <v>1</v>
      </c>
    </row>
    <row r="84" spans="1:31" ht="24" thickBot="1">
      <c r="A84" s="17" t="s">
        <v>131</v>
      </c>
      <c r="B84">
        <v>2</v>
      </c>
      <c r="C84" s="28">
        <v>3100000</v>
      </c>
      <c r="D84" s="28">
        <v>3350000</v>
      </c>
      <c r="E84" s="28">
        <v>3100000</v>
      </c>
      <c r="F84" s="28">
        <v>3100000</v>
      </c>
      <c r="G84" s="28">
        <v>3400000</v>
      </c>
      <c r="H84" s="28">
        <v>3050000</v>
      </c>
      <c r="I84">
        <f>IF('SP11-6'!N7="",0,1)</f>
        <v>0</v>
      </c>
      <c r="J84" s="34">
        <f ca="1">IF(I85=0,0,OFFSET(B82,$J$83,$M$83))</f>
        <v>0</v>
      </c>
      <c r="K84" s="17" t="s">
        <v>131</v>
      </c>
      <c r="L84">
        <v>2</v>
      </c>
      <c r="N84" s="30" t="s">
        <v>64</v>
      </c>
      <c r="O84">
        <v>2</v>
      </c>
      <c r="AE84">
        <v>2</v>
      </c>
    </row>
    <row r="85" spans="1:31" ht="34.5" thickBot="1">
      <c r="A85" s="17" t="s">
        <v>132</v>
      </c>
      <c r="B85">
        <v>3</v>
      </c>
      <c r="C85" s="28">
        <v>3100000</v>
      </c>
      <c r="D85" s="28">
        <v>3350000</v>
      </c>
      <c r="E85" s="28">
        <v>3050000</v>
      </c>
      <c r="F85" s="28">
        <v>3150000</v>
      </c>
      <c r="G85" s="28">
        <v>3600000</v>
      </c>
      <c r="H85" s="28">
        <v>3550000</v>
      </c>
      <c r="I85">
        <f>IF(I83+I84&lt;2,0,1)</f>
        <v>0</v>
      </c>
      <c r="K85" s="17" t="s">
        <v>132</v>
      </c>
      <c r="L85">
        <v>3</v>
      </c>
      <c r="N85" s="30" t="s">
        <v>65</v>
      </c>
      <c r="O85">
        <v>3</v>
      </c>
      <c r="AE85">
        <v>3</v>
      </c>
    </row>
    <row r="86" spans="1:31" ht="34.5" thickBot="1">
      <c r="A86" s="17" t="s">
        <v>133</v>
      </c>
      <c r="B86">
        <v>4</v>
      </c>
      <c r="C86" s="28">
        <v>3100000</v>
      </c>
      <c r="D86" s="28">
        <v>3350000</v>
      </c>
      <c r="E86" s="28">
        <v>3100000</v>
      </c>
      <c r="F86" s="28">
        <v>3150000</v>
      </c>
      <c r="G86" s="28">
        <v>3450000</v>
      </c>
      <c r="H86" s="28">
        <v>3150000</v>
      </c>
      <c r="K86" s="17" t="s">
        <v>133</v>
      </c>
      <c r="L86">
        <v>4</v>
      </c>
      <c r="N86" s="30" t="s">
        <v>66</v>
      </c>
      <c r="O86">
        <v>4</v>
      </c>
      <c r="AE86">
        <v>4</v>
      </c>
    </row>
    <row r="87" spans="1:31" ht="24" thickBot="1">
      <c r="A87" s="17" t="s">
        <v>134</v>
      </c>
      <c r="B87">
        <v>5</v>
      </c>
      <c r="C87" s="28">
        <v>3100000</v>
      </c>
      <c r="D87" s="28">
        <v>3350000</v>
      </c>
      <c r="E87" s="28">
        <v>3100000</v>
      </c>
      <c r="F87" s="28">
        <v>3100000</v>
      </c>
      <c r="G87" s="28">
        <v>3050000</v>
      </c>
      <c r="H87" s="28">
        <v>3050000</v>
      </c>
      <c r="K87" s="17" t="s">
        <v>134</v>
      </c>
      <c r="L87">
        <v>5</v>
      </c>
      <c r="N87" s="31" t="s">
        <v>67</v>
      </c>
      <c r="O87">
        <v>5</v>
      </c>
      <c r="AE87">
        <v>5</v>
      </c>
    </row>
    <row r="88" spans="1:31" ht="24" thickBot="1">
      <c r="A88" s="17" t="s">
        <v>135</v>
      </c>
      <c r="B88">
        <v>6</v>
      </c>
      <c r="C88" s="28">
        <v>3100000</v>
      </c>
      <c r="D88" s="28">
        <v>3350000</v>
      </c>
      <c r="E88" s="28">
        <v>3100000</v>
      </c>
      <c r="F88" s="28">
        <v>3150000</v>
      </c>
      <c r="G88" s="28">
        <v>3450000</v>
      </c>
      <c r="H88" s="28">
        <v>4450000</v>
      </c>
      <c r="K88" s="17" t="s">
        <v>135</v>
      </c>
      <c r="L88">
        <v>6</v>
      </c>
      <c r="N88" s="30" t="s">
        <v>68</v>
      </c>
      <c r="O88">
        <v>6</v>
      </c>
      <c r="AE88">
        <v>6</v>
      </c>
    </row>
    <row r="89" spans="1:31" ht="23.25" thickBot="1">
      <c r="A89" s="17" t="s">
        <v>113</v>
      </c>
      <c r="B89">
        <v>7</v>
      </c>
      <c r="C89" s="28">
        <v>3100000</v>
      </c>
      <c r="D89" s="28">
        <v>3350000</v>
      </c>
      <c r="E89" s="28">
        <v>3100000</v>
      </c>
      <c r="F89" s="28">
        <v>3100000</v>
      </c>
      <c r="G89" s="28">
        <v>3050000</v>
      </c>
      <c r="H89" s="28">
        <v>3050000</v>
      </c>
      <c r="K89" s="17" t="s">
        <v>113</v>
      </c>
      <c r="L89">
        <v>7</v>
      </c>
    </row>
    <row r="90" spans="1:31" ht="34.5" thickBot="1">
      <c r="A90" s="17" t="s">
        <v>136</v>
      </c>
      <c r="B90">
        <v>8</v>
      </c>
      <c r="C90" s="28">
        <v>3100000</v>
      </c>
      <c r="D90" s="28">
        <v>3350000</v>
      </c>
      <c r="E90" s="28">
        <v>3100000</v>
      </c>
      <c r="F90" s="28">
        <v>3100000</v>
      </c>
      <c r="G90" s="28">
        <v>3400000</v>
      </c>
      <c r="H90" s="28">
        <v>3350000</v>
      </c>
      <c r="K90" s="17" t="s">
        <v>136</v>
      </c>
      <c r="L90">
        <v>8</v>
      </c>
    </row>
    <row r="91" spans="1:31" ht="34.5" thickBot="1">
      <c r="A91" s="17" t="s">
        <v>137</v>
      </c>
      <c r="B91">
        <v>9</v>
      </c>
      <c r="C91" s="28">
        <v>3100000</v>
      </c>
      <c r="D91" s="28">
        <v>3350000</v>
      </c>
      <c r="E91" s="28">
        <v>3100000</v>
      </c>
      <c r="F91" s="28">
        <v>3150000</v>
      </c>
      <c r="G91" s="28">
        <v>3450000</v>
      </c>
      <c r="H91" s="28">
        <v>3350000</v>
      </c>
      <c r="K91" s="17" t="s">
        <v>137</v>
      </c>
      <c r="L91">
        <v>9</v>
      </c>
    </row>
    <row r="92" spans="1:31" ht="45.75" thickBot="1">
      <c r="A92" s="17" t="s">
        <v>138</v>
      </c>
      <c r="B92">
        <v>10</v>
      </c>
      <c r="C92" s="28">
        <v>3100000</v>
      </c>
      <c r="D92" s="28">
        <v>3350000</v>
      </c>
      <c r="E92" s="28">
        <v>3100000</v>
      </c>
      <c r="F92" s="28">
        <v>3100000</v>
      </c>
      <c r="G92" s="28">
        <v>3400000</v>
      </c>
      <c r="H92" s="28">
        <v>3050000</v>
      </c>
      <c r="K92" s="17" t="s">
        <v>138</v>
      </c>
      <c r="L92">
        <v>10</v>
      </c>
    </row>
    <row r="93" spans="1:31" ht="23.45" customHeight="1" thickBot="1">
      <c r="A93" s="17" t="s">
        <v>139</v>
      </c>
      <c r="B93">
        <v>11</v>
      </c>
      <c r="C93" s="28">
        <v>3100000</v>
      </c>
      <c r="D93" s="28">
        <v>3350000</v>
      </c>
      <c r="E93" s="28">
        <v>3100000</v>
      </c>
      <c r="F93" s="28">
        <v>3100000</v>
      </c>
      <c r="G93" s="28">
        <v>3400000</v>
      </c>
      <c r="H93" s="28">
        <v>3300000</v>
      </c>
      <c r="K93" s="17" t="s">
        <v>139</v>
      </c>
      <c r="L93">
        <v>11</v>
      </c>
    </row>
    <row r="94" spans="1:31" ht="23.25" thickBot="1">
      <c r="A94" s="17" t="s">
        <v>140</v>
      </c>
      <c r="B94">
        <v>12</v>
      </c>
      <c r="C94" s="28">
        <v>3100000</v>
      </c>
      <c r="D94" s="28">
        <v>3350000</v>
      </c>
      <c r="E94" s="28">
        <v>3100000</v>
      </c>
      <c r="F94" s="28">
        <v>3200000</v>
      </c>
      <c r="G94" s="28">
        <v>3100000</v>
      </c>
      <c r="H94" s="28">
        <v>3150000</v>
      </c>
      <c r="K94" s="17" t="s">
        <v>140</v>
      </c>
      <c r="L94">
        <v>12</v>
      </c>
    </row>
    <row r="95" spans="1:31" ht="34.5" thickBot="1">
      <c r="A95" s="17" t="s">
        <v>62</v>
      </c>
      <c r="B95">
        <v>13</v>
      </c>
      <c r="C95" s="28">
        <v>3100000</v>
      </c>
      <c r="D95" s="28">
        <v>3350000</v>
      </c>
      <c r="E95" s="28">
        <v>3100000</v>
      </c>
      <c r="F95" s="28">
        <v>3150000</v>
      </c>
      <c r="G95" s="28">
        <v>3400000</v>
      </c>
      <c r="H95" s="28">
        <v>3350000</v>
      </c>
      <c r="K95" s="17" t="s">
        <v>62</v>
      </c>
      <c r="L95">
        <v>13</v>
      </c>
    </row>
    <row r="96" spans="1:31">
      <c r="A96" s="8"/>
      <c r="B96">
        <v>14</v>
      </c>
    </row>
    <row r="97" spans="1:10" ht="13.5" thickBot="1">
      <c r="A97" s="14" t="s">
        <v>141</v>
      </c>
      <c r="B97" s="14" t="s">
        <v>142</v>
      </c>
    </row>
    <row r="98" spans="1:10" ht="34.15" customHeight="1" thickBot="1">
      <c r="A98" s="469" t="s">
        <v>143</v>
      </c>
      <c r="B98" s="471"/>
      <c r="C98" s="469" t="s">
        <v>127</v>
      </c>
      <c r="D98" s="470"/>
      <c r="E98" s="470"/>
      <c r="F98" s="470"/>
      <c r="G98" s="470"/>
      <c r="H98" s="471"/>
    </row>
    <row r="99" spans="1:10" ht="46.5" thickBot="1">
      <c r="A99" s="19" t="s">
        <v>33</v>
      </c>
      <c r="B99" s="16" t="s">
        <v>74</v>
      </c>
      <c r="C99" s="16" t="s">
        <v>63</v>
      </c>
      <c r="D99" s="16" t="s">
        <v>64</v>
      </c>
      <c r="E99" s="16" t="s">
        <v>65</v>
      </c>
      <c r="F99" s="16" t="s">
        <v>66</v>
      </c>
      <c r="G99" s="16" t="s">
        <v>67</v>
      </c>
      <c r="H99" s="16" t="s">
        <v>68</v>
      </c>
    </row>
    <row r="100" spans="1:10" ht="13.5" thickBot="1">
      <c r="A100" s="17" t="s">
        <v>130</v>
      </c>
      <c r="B100">
        <v>1</v>
      </c>
      <c r="C100" s="28">
        <v>325000</v>
      </c>
      <c r="D100" s="28">
        <v>340000</v>
      </c>
      <c r="E100" s="28">
        <v>370000</v>
      </c>
      <c r="F100" s="28">
        <v>410000</v>
      </c>
      <c r="G100" s="28">
        <v>480000</v>
      </c>
      <c r="H100" s="28">
        <v>450000</v>
      </c>
    </row>
    <row r="101" spans="1:10" ht="23.25" thickBot="1">
      <c r="A101" s="17" t="s">
        <v>131</v>
      </c>
      <c r="B101">
        <v>2</v>
      </c>
      <c r="C101" s="28">
        <v>320000</v>
      </c>
      <c r="D101" s="28">
        <v>335000</v>
      </c>
      <c r="E101" s="28">
        <v>325000</v>
      </c>
      <c r="F101" s="28">
        <v>360000</v>
      </c>
      <c r="G101" s="28">
        <v>360000</v>
      </c>
      <c r="H101" s="28">
        <v>345000</v>
      </c>
      <c r="J101" s="34">
        <f ca="1">IF(I102=0,0,OFFSET(B99,$J$83,$M$83))</f>
        <v>0</v>
      </c>
    </row>
    <row r="102" spans="1:10" ht="34.5" thickBot="1">
      <c r="A102" s="17" t="s">
        <v>132</v>
      </c>
      <c r="B102">
        <v>3</v>
      </c>
      <c r="C102" s="28">
        <v>340000</v>
      </c>
      <c r="D102" s="28">
        <v>335000</v>
      </c>
      <c r="E102" s="28">
        <v>330000</v>
      </c>
      <c r="F102" s="28">
        <v>415000</v>
      </c>
      <c r="G102" s="28">
        <v>385000</v>
      </c>
      <c r="H102" s="28">
        <v>380000</v>
      </c>
      <c r="I102">
        <f>I85</f>
        <v>0</v>
      </c>
    </row>
    <row r="103" spans="1:10" ht="34.5" thickBot="1">
      <c r="A103" s="17" t="s">
        <v>133</v>
      </c>
      <c r="B103">
        <v>4</v>
      </c>
      <c r="C103" s="28">
        <v>320000</v>
      </c>
      <c r="D103" s="28">
        <v>345000</v>
      </c>
      <c r="E103" s="28">
        <v>325000</v>
      </c>
      <c r="F103" s="28">
        <v>375000</v>
      </c>
      <c r="G103" s="28">
        <v>380000</v>
      </c>
      <c r="H103" s="28">
        <v>355000</v>
      </c>
    </row>
    <row r="104" spans="1:10" ht="23.25" thickBot="1">
      <c r="A104" s="17" t="s">
        <v>134</v>
      </c>
      <c r="B104">
        <v>5</v>
      </c>
      <c r="C104" s="28">
        <v>325000</v>
      </c>
      <c r="D104" s="28">
        <v>335000</v>
      </c>
      <c r="E104" s="28">
        <v>335000</v>
      </c>
      <c r="F104" s="28">
        <v>370000</v>
      </c>
      <c r="G104" s="28">
        <v>360000</v>
      </c>
      <c r="H104" s="28">
        <v>360000</v>
      </c>
    </row>
    <row r="105" spans="1:10" ht="23.25" thickBot="1">
      <c r="A105" s="17" t="s">
        <v>135</v>
      </c>
      <c r="B105">
        <v>6</v>
      </c>
      <c r="C105" s="28">
        <v>325000</v>
      </c>
      <c r="D105" s="28">
        <v>320000</v>
      </c>
      <c r="E105" s="28">
        <v>325000</v>
      </c>
      <c r="F105" s="28">
        <v>330000</v>
      </c>
      <c r="G105" s="28">
        <v>410000</v>
      </c>
      <c r="H105" s="28">
        <v>345000</v>
      </c>
    </row>
    <row r="106" spans="1:10" ht="23.25" thickBot="1">
      <c r="A106" s="17" t="s">
        <v>113</v>
      </c>
      <c r="B106">
        <v>7</v>
      </c>
      <c r="C106" s="28">
        <v>330000</v>
      </c>
      <c r="D106" s="28">
        <v>335000</v>
      </c>
      <c r="E106" s="28">
        <v>365000</v>
      </c>
      <c r="F106" s="28">
        <v>335000</v>
      </c>
      <c r="G106" s="28">
        <v>330000</v>
      </c>
      <c r="H106" s="28">
        <v>330000</v>
      </c>
    </row>
    <row r="107" spans="1:10" ht="34.5" thickBot="1">
      <c r="A107" s="17" t="s">
        <v>136</v>
      </c>
      <c r="B107">
        <v>8</v>
      </c>
      <c r="C107" s="28">
        <v>325000</v>
      </c>
      <c r="D107" s="28">
        <v>335000</v>
      </c>
      <c r="E107" s="28">
        <v>350000</v>
      </c>
      <c r="F107" s="28">
        <v>340000</v>
      </c>
      <c r="G107" s="28">
        <v>355000</v>
      </c>
      <c r="H107" s="28">
        <v>350000</v>
      </c>
    </row>
    <row r="108" spans="1:10" ht="34.5" thickBot="1">
      <c r="A108" s="17" t="s">
        <v>137</v>
      </c>
      <c r="B108">
        <v>9</v>
      </c>
      <c r="C108" s="28">
        <v>325000</v>
      </c>
      <c r="D108" s="28">
        <v>325000</v>
      </c>
      <c r="E108" s="28">
        <v>325000</v>
      </c>
      <c r="F108" s="28">
        <v>385000</v>
      </c>
      <c r="G108" s="28">
        <v>350000</v>
      </c>
      <c r="H108" s="28">
        <v>350000</v>
      </c>
    </row>
    <row r="109" spans="1:10" ht="45.75" thickBot="1">
      <c r="A109" s="17" t="s">
        <v>138</v>
      </c>
      <c r="B109">
        <v>10</v>
      </c>
      <c r="C109" s="28">
        <v>325000</v>
      </c>
      <c r="D109" s="28">
        <v>330000</v>
      </c>
      <c r="E109" s="28">
        <v>340000</v>
      </c>
      <c r="F109" s="28">
        <v>370000</v>
      </c>
      <c r="G109" s="28">
        <v>450000</v>
      </c>
      <c r="H109" s="28">
        <v>360000</v>
      </c>
    </row>
    <row r="110" spans="1:10" ht="23.25" thickBot="1">
      <c r="A110" s="17" t="s">
        <v>139</v>
      </c>
      <c r="B110">
        <v>11</v>
      </c>
      <c r="C110" s="28">
        <v>325000</v>
      </c>
      <c r="D110" s="28">
        <v>335000</v>
      </c>
      <c r="E110" s="28">
        <v>370000</v>
      </c>
      <c r="F110" s="28">
        <v>375000</v>
      </c>
      <c r="G110" s="28">
        <v>395000</v>
      </c>
      <c r="H110" s="28">
        <v>375000</v>
      </c>
    </row>
    <row r="111" spans="1:10" ht="23.25" thickBot="1">
      <c r="A111" s="17" t="s">
        <v>140</v>
      </c>
      <c r="B111">
        <v>12</v>
      </c>
      <c r="C111" s="28">
        <v>325000</v>
      </c>
      <c r="D111" s="28">
        <v>335000</v>
      </c>
      <c r="E111" s="28">
        <v>330000</v>
      </c>
      <c r="F111" s="28">
        <v>360000</v>
      </c>
      <c r="G111" s="28">
        <v>370000</v>
      </c>
      <c r="H111" s="28">
        <v>345000</v>
      </c>
    </row>
    <row r="112" spans="1:10" ht="34.5" thickBot="1">
      <c r="A112" s="17" t="s">
        <v>62</v>
      </c>
      <c r="B112">
        <v>13</v>
      </c>
      <c r="C112" s="28">
        <v>325000</v>
      </c>
      <c r="D112" s="28">
        <v>335000</v>
      </c>
      <c r="E112" s="28">
        <v>335000</v>
      </c>
      <c r="F112" s="28">
        <v>370000</v>
      </c>
      <c r="G112" s="28">
        <v>370000</v>
      </c>
      <c r="H112" s="28">
        <v>360000</v>
      </c>
    </row>
    <row r="113" spans="1:10" ht="19.5">
      <c r="A113" s="13"/>
      <c r="B113">
        <v>14</v>
      </c>
    </row>
    <row r="114" spans="1:10" ht="19.5">
      <c r="A114" s="13" t="s">
        <v>69</v>
      </c>
      <c r="B114" s="13" t="s">
        <v>70</v>
      </c>
    </row>
    <row r="115" spans="1:10" ht="13.5" thickBot="1">
      <c r="A115" s="14" t="s">
        <v>144</v>
      </c>
      <c r="B115" s="14" t="s">
        <v>145</v>
      </c>
    </row>
    <row r="116" spans="1:10" ht="22.9" customHeight="1">
      <c r="A116" s="472" t="s">
        <v>146</v>
      </c>
      <c r="B116" s="473"/>
      <c r="C116" s="472" t="s">
        <v>127</v>
      </c>
      <c r="D116" s="476"/>
      <c r="E116" s="476"/>
      <c r="F116" s="476"/>
      <c r="G116" s="476"/>
      <c r="H116" s="473"/>
    </row>
    <row r="117" spans="1:10" ht="22.9" customHeight="1" thickBot="1">
      <c r="A117" s="474" t="s">
        <v>147</v>
      </c>
      <c r="B117" s="475"/>
      <c r="C117" s="474"/>
      <c r="D117" s="477"/>
      <c r="E117" s="477"/>
      <c r="F117" s="477"/>
      <c r="G117" s="477"/>
      <c r="H117" s="475"/>
    </row>
    <row r="118" spans="1:10" ht="46.5" thickBot="1">
      <c r="A118" s="19" t="s">
        <v>33</v>
      </c>
      <c r="B118" s="16" t="s">
        <v>74</v>
      </c>
      <c r="C118" s="16" t="s">
        <v>63</v>
      </c>
      <c r="D118" s="16" t="s">
        <v>64</v>
      </c>
      <c r="E118" s="16" t="s">
        <v>65</v>
      </c>
      <c r="F118" s="16" t="s">
        <v>66</v>
      </c>
      <c r="G118" s="16" t="s">
        <v>67</v>
      </c>
      <c r="H118" s="16" t="s">
        <v>68</v>
      </c>
    </row>
    <row r="119" spans="1:10" ht="13.5" thickBot="1">
      <c r="A119" s="17" t="s">
        <v>130</v>
      </c>
      <c r="B119">
        <v>1</v>
      </c>
      <c r="C119" s="28">
        <v>17000</v>
      </c>
      <c r="D119" s="28">
        <v>16000</v>
      </c>
      <c r="E119" s="28">
        <v>24000</v>
      </c>
      <c r="F119" s="28">
        <v>31000</v>
      </c>
      <c r="G119" s="28">
        <v>25000</v>
      </c>
      <c r="H119" s="28">
        <v>25000</v>
      </c>
    </row>
    <row r="120" spans="1:10" ht="23.25" thickBot="1">
      <c r="A120" s="17" t="s">
        <v>131</v>
      </c>
      <c r="B120">
        <v>2</v>
      </c>
      <c r="C120" s="28">
        <v>16000</v>
      </c>
      <c r="D120" s="28">
        <v>17000</v>
      </c>
      <c r="E120" s="28">
        <v>20000</v>
      </c>
      <c r="F120" s="28">
        <v>25000</v>
      </c>
      <c r="G120" s="28">
        <v>19000</v>
      </c>
      <c r="H120" s="28">
        <v>19000</v>
      </c>
      <c r="J120" s="34">
        <f ca="1">IF(I121=0,0,OFFSET(B118,$J$83,$M$83))</f>
        <v>0</v>
      </c>
    </row>
    <row r="121" spans="1:10" ht="34.5" thickBot="1">
      <c r="A121" s="17" t="s">
        <v>132</v>
      </c>
      <c r="B121">
        <v>3</v>
      </c>
      <c r="C121" s="28">
        <v>18000</v>
      </c>
      <c r="D121" s="28">
        <v>15000</v>
      </c>
      <c r="E121" s="28">
        <v>16000</v>
      </c>
      <c r="F121" s="28">
        <v>34000</v>
      </c>
      <c r="G121" s="28">
        <v>21000</v>
      </c>
      <c r="H121" s="28">
        <v>21000</v>
      </c>
      <c r="I121">
        <f>I85</f>
        <v>0</v>
      </c>
    </row>
    <row r="122" spans="1:10" ht="34.5" thickBot="1">
      <c r="A122" s="17" t="s">
        <v>133</v>
      </c>
      <c r="B122">
        <v>4</v>
      </c>
      <c r="C122" s="28">
        <v>15000</v>
      </c>
      <c r="D122" s="28">
        <v>15000</v>
      </c>
      <c r="E122" s="28">
        <v>16000</v>
      </c>
      <c r="F122" s="28">
        <v>41000</v>
      </c>
      <c r="G122" s="28">
        <v>21000</v>
      </c>
      <c r="H122" s="28">
        <v>20000</v>
      </c>
    </row>
    <row r="123" spans="1:10" ht="23.25" thickBot="1">
      <c r="A123" s="17" t="s">
        <v>134</v>
      </c>
      <c r="B123">
        <v>5</v>
      </c>
      <c r="C123" s="28">
        <v>15000</v>
      </c>
      <c r="D123" s="28">
        <v>17000</v>
      </c>
      <c r="E123" s="28">
        <v>15000</v>
      </c>
      <c r="F123" s="28">
        <v>25000</v>
      </c>
      <c r="G123" s="28">
        <v>18000</v>
      </c>
      <c r="H123" s="28">
        <v>19000</v>
      </c>
    </row>
    <row r="124" spans="1:10" ht="23.25" thickBot="1">
      <c r="A124" s="17" t="s">
        <v>135</v>
      </c>
      <c r="B124">
        <v>6</v>
      </c>
      <c r="C124" s="28">
        <v>17000</v>
      </c>
      <c r="D124" s="28">
        <v>17000</v>
      </c>
      <c r="E124" s="28">
        <v>18000</v>
      </c>
      <c r="F124" s="28">
        <v>26000</v>
      </c>
      <c r="G124" s="28">
        <v>22000</v>
      </c>
      <c r="H124" s="28">
        <v>20000</v>
      </c>
    </row>
    <row r="125" spans="1:10" ht="23.25" thickBot="1">
      <c r="A125" s="17" t="s">
        <v>113</v>
      </c>
      <c r="B125">
        <v>7</v>
      </c>
      <c r="C125" s="28">
        <v>22000</v>
      </c>
      <c r="D125" s="28">
        <v>18000</v>
      </c>
      <c r="E125" s="28">
        <v>19000</v>
      </c>
      <c r="F125" s="28">
        <v>30000</v>
      </c>
      <c r="G125" s="28">
        <v>18000</v>
      </c>
      <c r="H125" s="28">
        <v>18000</v>
      </c>
    </row>
    <row r="126" spans="1:10" ht="34.5" thickBot="1">
      <c r="A126" s="17" t="s">
        <v>136</v>
      </c>
      <c r="B126">
        <v>8</v>
      </c>
      <c r="C126" s="28">
        <v>15000</v>
      </c>
      <c r="D126" s="28">
        <v>18000</v>
      </c>
      <c r="E126" s="28">
        <v>16000</v>
      </c>
      <c r="F126" s="28">
        <v>30000</v>
      </c>
      <c r="G126" s="28">
        <v>21000</v>
      </c>
      <c r="H126" s="28">
        <v>21000</v>
      </c>
    </row>
    <row r="127" spans="1:10" ht="34.5" thickBot="1">
      <c r="A127" s="17" t="s">
        <v>137</v>
      </c>
      <c r="B127">
        <v>9</v>
      </c>
      <c r="C127" s="28">
        <v>16000</v>
      </c>
      <c r="D127" s="28">
        <v>17000</v>
      </c>
      <c r="E127" s="28">
        <v>18000</v>
      </c>
      <c r="F127" s="28">
        <v>30000</v>
      </c>
      <c r="G127" s="28">
        <v>22000</v>
      </c>
      <c r="H127" s="28">
        <v>23000</v>
      </c>
    </row>
    <row r="128" spans="1:10" ht="45.75" thickBot="1">
      <c r="A128" s="17" t="s">
        <v>138</v>
      </c>
      <c r="B128">
        <v>10</v>
      </c>
      <c r="C128" s="28">
        <v>16000</v>
      </c>
      <c r="D128" s="28">
        <v>16000</v>
      </c>
      <c r="E128" s="28">
        <v>18000</v>
      </c>
      <c r="F128" s="28">
        <v>27000</v>
      </c>
      <c r="G128" s="28">
        <v>21000</v>
      </c>
      <c r="H128" s="28">
        <v>20000</v>
      </c>
    </row>
    <row r="129" spans="1:10" ht="23.25" thickBot="1">
      <c r="A129" s="17" t="s">
        <v>139</v>
      </c>
      <c r="B129">
        <v>11</v>
      </c>
      <c r="C129" s="28">
        <v>17000</v>
      </c>
      <c r="D129" s="28">
        <v>18000</v>
      </c>
      <c r="E129" s="28">
        <v>21000</v>
      </c>
      <c r="F129" s="28">
        <v>31000</v>
      </c>
      <c r="G129" s="28">
        <v>24000</v>
      </c>
      <c r="H129" s="28">
        <v>23000</v>
      </c>
    </row>
    <row r="130" spans="1:10" ht="23.25" thickBot="1">
      <c r="A130" s="17" t="s">
        <v>140</v>
      </c>
      <c r="B130">
        <v>12</v>
      </c>
      <c r="C130" s="28">
        <v>16000</v>
      </c>
      <c r="D130" s="28">
        <v>17000</v>
      </c>
      <c r="E130" s="28">
        <v>17000</v>
      </c>
      <c r="F130" s="28">
        <v>30000</v>
      </c>
      <c r="G130" s="28">
        <v>23000</v>
      </c>
      <c r="H130" s="28">
        <v>21000</v>
      </c>
    </row>
    <row r="131" spans="1:10" ht="34.5" thickBot="1">
      <c r="A131" s="17" t="s">
        <v>62</v>
      </c>
      <c r="B131">
        <v>13</v>
      </c>
      <c r="C131" s="28">
        <v>17000</v>
      </c>
      <c r="D131" s="28">
        <v>18000</v>
      </c>
      <c r="E131" s="28">
        <v>18000</v>
      </c>
      <c r="F131" s="28">
        <v>30000</v>
      </c>
      <c r="G131" s="28">
        <v>21000</v>
      </c>
      <c r="H131" s="28">
        <v>21000</v>
      </c>
    </row>
    <row r="132" spans="1:10">
      <c r="A132" s="8"/>
      <c r="B132">
        <v>14</v>
      </c>
    </row>
    <row r="133" spans="1:10" ht="13.5" thickBot="1">
      <c r="A133" s="14" t="s">
        <v>148</v>
      </c>
      <c r="B133" s="14" t="s">
        <v>149</v>
      </c>
    </row>
    <row r="134" spans="1:10" ht="34.15" customHeight="1" thickBot="1">
      <c r="A134" s="469" t="s">
        <v>150</v>
      </c>
      <c r="B134" s="471"/>
      <c r="C134" s="469" t="s">
        <v>127</v>
      </c>
      <c r="D134" s="470"/>
      <c r="E134" s="470"/>
      <c r="F134" s="470"/>
      <c r="G134" s="470"/>
      <c r="H134" s="471"/>
    </row>
    <row r="135" spans="1:10" ht="46.5" thickBot="1">
      <c r="A135" s="19" t="s">
        <v>33</v>
      </c>
      <c r="B135" s="16" t="s">
        <v>74</v>
      </c>
      <c r="C135" s="16" t="s">
        <v>63</v>
      </c>
      <c r="D135" s="16" t="s">
        <v>64</v>
      </c>
      <c r="E135" s="16" t="s">
        <v>65</v>
      </c>
      <c r="F135" s="16" t="s">
        <v>66</v>
      </c>
      <c r="G135" s="16" t="s">
        <v>67</v>
      </c>
      <c r="H135" s="16" t="s">
        <v>68</v>
      </c>
    </row>
    <row r="136" spans="1:10" ht="13.5" thickBot="1">
      <c r="A136" s="17" t="s">
        <v>130</v>
      </c>
      <c r="B136">
        <v>1</v>
      </c>
      <c r="C136" s="28">
        <v>1000</v>
      </c>
      <c r="D136" s="28">
        <v>1100</v>
      </c>
      <c r="E136" s="28">
        <v>4200</v>
      </c>
      <c r="F136" s="28">
        <v>5900</v>
      </c>
      <c r="G136" s="28">
        <v>2000</v>
      </c>
      <c r="H136" s="28">
        <v>2400</v>
      </c>
    </row>
    <row r="137" spans="1:10" ht="23.25" thickBot="1">
      <c r="A137" s="17" t="s">
        <v>131</v>
      </c>
      <c r="B137">
        <v>2</v>
      </c>
      <c r="C137" s="28">
        <v>1000</v>
      </c>
      <c r="D137" s="28">
        <v>1100</v>
      </c>
      <c r="E137" s="28">
        <v>4900</v>
      </c>
      <c r="F137" s="28">
        <v>5800</v>
      </c>
      <c r="G137" s="28">
        <v>2000</v>
      </c>
      <c r="H137" s="28">
        <v>2500</v>
      </c>
      <c r="J137" s="34">
        <f ca="1">IF(I138=0,0,OFFSET(B135,$J$83,$M$83))</f>
        <v>0</v>
      </c>
    </row>
    <row r="138" spans="1:10" ht="34.5" thickBot="1">
      <c r="A138" s="17" t="s">
        <v>132</v>
      </c>
      <c r="B138">
        <v>3</v>
      </c>
      <c r="C138" s="29">
        <v>900</v>
      </c>
      <c r="D138" s="28">
        <v>1400</v>
      </c>
      <c r="E138" s="28">
        <v>2000</v>
      </c>
      <c r="F138" s="28">
        <v>5200</v>
      </c>
      <c r="G138" s="28">
        <v>1200</v>
      </c>
      <c r="H138" s="28">
        <v>1300</v>
      </c>
      <c r="I138">
        <f>I85</f>
        <v>0</v>
      </c>
    </row>
    <row r="139" spans="1:10" ht="34.5" thickBot="1">
      <c r="A139" s="17" t="s">
        <v>133</v>
      </c>
      <c r="B139">
        <v>4</v>
      </c>
      <c r="C139" s="29">
        <v>700</v>
      </c>
      <c r="D139" s="28">
        <v>1100</v>
      </c>
      <c r="E139" s="28">
        <v>1100</v>
      </c>
      <c r="F139" s="28">
        <v>5400</v>
      </c>
      <c r="G139" s="28">
        <v>1500</v>
      </c>
      <c r="H139" s="28">
        <v>1700</v>
      </c>
    </row>
    <row r="140" spans="1:10" ht="23.25" thickBot="1">
      <c r="A140" s="17" t="s">
        <v>134</v>
      </c>
      <c r="B140">
        <v>5</v>
      </c>
      <c r="C140" s="28">
        <v>1000</v>
      </c>
      <c r="D140" s="28">
        <v>1100</v>
      </c>
      <c r="E140" s="28">
        <v>5500</v>
      </c>
      <c r="F140" s="28">
        <v>5300</v>
      </c>
      <c r="G140" s="28">
        <v>1600</v>
      </c>
      <c r="H140" s="28">
        <v>2500</v>
      </c>
    </row>
    <row r="141" spans="1:10" ht="23.25" thickBot="1">
      <c r="A141" s="17" t="s">
        <v>135</v>
      </c>
      <c r="B141">
        <v>6</v>
      </c>
      <c r="C141" s="28">
        <v>1500</v>
      </c>
      <c r="D141" s="28">
        <v>1300</v>
      </c>
      <c r="E141" s="28">
        <v>3100</v>
      </c>
      <c r="F141" s="28">
        <v>5900</v>
      </c>
      <c r="G141" s="28">
        <v>2100</v>
      </c>
      <c r="H141" s="28">
        <v>2800</v>
      </c>
    </row>
    <row r="142" spans="1:10" ht="23.25" thickBot="1">
      <c r="A142" s="17" t="s">
        <v>113</v>
      </c>
      <c r="B142">
        <v>7</v>
      </c>
      <c r="C142" s="29">
        <v>500</v>
      </c>
      <c r="D142" s="28">
        <v>1100</v>
      </c>
      <c r="E142" s="29">
        <v>200</v>
      </c>
      <c r="F142" s="28">
        <v>4900</v>
      </c>
      <c r="G142" s="28">
        <v>1100</v>
      </c>
      <c r="H142" s="28">
        <v>1200</v>
      </c>
    </row>
    <row r="143" spans="1:10" ht="34.5" thickBot="1">
      <c r="A143" s="17" t="s">
        <v>136</v>
      </c>
      <c r="B143">
        <v>8</v>
      </c>
      <c r="C143" s="28">
        <v>1400</v>
      </c>
      <c r="D143" s="28">
        <v>1100</v>
      </c>
      <c r="E143" s="28">
        <v>2500</v>
      </c>
      <c r="F143" s="28">
        <v>5800</v>
      </c>
      <c r="G143" s="28">
        <v>2000</v>
      </c>
      <c r="H143" s="28">
        <v>2200</v>
      </c>
    </row>
    <row r="144" spans="1:10" ht="34.5" thickBot="1">
      <c r="A144" s="17" t="s">
        <v>137</v>
      </c>
      <c r="B144">
        <v>9</v>
      </c>
      <c r="C144" s="28">
        <v>1200</v>
      </c>
      <c r="D144" s="28">
        <v>1100</v>
      </c>
      <c r="E144" s="28">
        <v>3400</v>
      </c>
      <c r="F144" s="28">
        <v>5900</v>
      </c>
      <c r="G144" s="28">
        <v>2000</v>
      </c>
      <c r="H144" s="28">
        <v>2200</v>
      </c>
    </row>
    <row r="145" spans="1:10" ht="45.75" thickBot="1">
      <c r="A145" s="17" t="s">
        <v>138</v>
      </c>
      <c r="B145">
        <v>10</v>
      </c>
      <c r="C145" s="28">
        <v>1100</v>
      </c>
      <c r="D145" s="28">
        <v>1100</v>
      </c>
      <c r="E145" s="28">
        <v>3000</v>
      </c>
      <c r="F145" s="28">
        <v>5900</v>
      </c>
      <c r="G145" s="28">
        <v>2000</v>
      </c>
      <c r="H145" s="28">
        <v>2500</v>
      </c>
    </row>
    <row r="146" spans="1:10" ht="23.25" thickBot="1">
      <c r="A146" s="17" t="s">
        <v>139</v>
      </c>
      <c r="B146">
        <v>11</v>
      </c>
      <c r="C146" s="28">
        <v>1000</v>
      </c>
      <c r="D146" s="28">
        <v>1000</v>
      </c>
      <c r="E146" s="28">
        <v>3400</v>
      </c>
      <c r="F146" s="28">
        <v>5900</v>
      </c>
      <c r="G146" s="28">
        <v>1900</v>
      </c>
      <c r="H146" s="28">
        <v>2100</v>
      </c>
    </row>
    <row r="147" spans="1:10" ht="23.25" thickBot="1">
      <c r="A147" s="17" t="s">
        <v>140</v>
      </c>
      <c r="B147">
        <v>12</v>
      </c>
      <c r="C147" s="28">
        <v>1000</v>
      </c>
      <c r="D147" s="28">
        <v>1100</v>
      </c>
      <c r="E147" s="28">
        <v>2400</v>
      </c>
      <c r="F147" s="28">
        <v>5800</v>
      </c>
      <c r="G147" s="28">
        <v>2000</v>
      </c>
      <c r="H147" s="28">
        <v>2200</v>
      </c>
    </row>
    <row r="148" spans="1:10" ht="34.5" thickBot="1">
      <c r="A148" s="17" t="s">
        <v>62</v>
      </c>
      <c r="B148">
        <v>13</v>
      </c>
      <c r="C148" s="28">
        <v>1000</v>
      </c>
      <c r="D148" s="28">
        <v>1100</v>
      </c>
      <c r="E148" s="28">
        <v>2800</v>
      </c>
      <c r="F148" s="28">
        <v>5800</v>
      </c>
      <c r="G148" s="28">
        <v>1800</v>
      </c>
      <c r="H148" s="28">
        <v>2100</v>
      </c>
    </row>
    <row r="149" spans="1:10" ht="19.5">
      <c r="A149" s="13"/>
      <c r="B149">
        <v>14</v>
      </c>
    </row>
    <row r="150" spans="1:10" ht="19.5">
      <c r="A150" s="13" t="s">
        <v>69</v>
      </c>
      <c r="B150" s="13" t="s">
        <v>70</v>
      </c>
    </row>
    <row r="151" spans="1:10" ht="13.5" thickBot="1">
      <c r="A151" s="14" t="s">
        <v>151</v>
      </c>
      <c r="B151" s="14" t="s">
        <v>152</v>
      </c>
    </row>
    <row r="152" spans="1:10" ht="34.15" customHeight="1" thickBot="1">
      <c r="A152" s="469" t="s">
        <v>153</v>
      </c>
      <c r="B152" s="471"/>
      <c r="C152" s="469" t="s">
        <v>127</v>
      </c>
      <c r="D152" s="470"/>
      <c r="E152" s="470"/>
      <c r="F152" s="470"/>
      <c r="G152" s="470"/>
      <c r="H152" s="471"/>
    </row>
    <row r="153" spans="1:10" ht="46.5" thickBot="1">
      <c r="A153" s="19" t="s">
        <v>33</v>
      </c>
      <c r="B153" s="16" t="s">
        <v>50</v>
      </c>
      <c r="C153" s="16" t="s">
        <v>63</v>
      </c>
      <c r="D153" s="16" t="s">
        <v>64</v>
      </c>
      <c r="E153" s="16" t="s">
        <v>65</v>
      </c>
      <c r="F153" s="16" t="s">
        <v>66</v>
      </c>
      <c r="G153" s="16" t="s">
        <v>67</v>
      </c>
      <c r="H153" s="16" t="s">
        <v>68</v>
      </c>
    </row>
    <row r="154" spans="1:10" ht="13.5" thickBot="1">
      <c r="A154" s="17" t="s">
        <v>130</v>
      </c>
      <c r="B154">
        <v>1</v>
      </c>
      <c r="C154" s="28">
        <v>3100000</v>
      </c>
      <c r="D154" s="28">
        <v>3650000</v>
      </c>
      <c r="E154" s="28">
        <v>3950000</v>
      </c>
      <c r="F154" s="28">
        <v>4000000</v>
      </c>
      <c r="G154" s="28">
        <v>4500000</v>
      </c>
      <c r="H154" s="28">
        <v>4300000</v>
      </c>
    </row>
    <row r="155" spans="1:10" ht="23.25" thickBot="1">
      <c r="A155" s="17" t="s">
        <v>131</v>
      </c>
      <c r="B155">
        <v>2</v>
      </c>
      <c r="C155" s="28">
        <v>3100000</v>
      </c>
      <c r="D155" s="28">
        <v>3550000</v>
      </c>
      <c r="E155" s="28">
        <v>3400000</v>
      </c>
      <c r="F155" s="28">
        <v>3850000</v>
      </c>
      <c r="G155" s="28">
        <v>3700000</v>
      </c>
      <c r="H155" s="28">
        <v>3550000</v>
      </c>
      <c r="J155" s="34">
        <f ca="1">IF(I156=0,0,OFFSET(B153,$J$83,$M$83))</f>
        <v>0</v>
      </c>
    </row>
    <row r="156" spans="1:10" ht="34.5" thickBot="1">
      <c r="A156" s="17" t="s">
        <v>132</v>
      </c>
      <c r="B156">
        <v>3</v>
      </c>
      <c r="C156" s="28">
        <v>3100000</v>
      </c>
      <c r="D156" s="28">
        <v>3550000</v>
      </c>
      <c r="E156" s="28">
        <v>3100000</v>
      </c>
      <c r="F156" s="28">
        <v>3350000</v>
      </c>
      <c r="G156" s="28">
        <v>3600000</v>
      </c>
      <c r="H156" s="28">
        <v>3550000</v>
      </c>
      <c r="I156">
        <f>I85</f>
        <v>0</v>
      </c>
    </row>
    <row r="157" spans="1:10" ht="34.5" thickBot="1">
      <c r="A157" s="17" t="s">
        <v>133</v>
      </c>
      <c r="B157">
        <v>4</v>
      </c>
      <c r="C157" s="28">
        <v>3100000</v>
      </c>
      <c r="D157" s="28">
        <v>3550000</v>
      </c>
      <c r="E157" s="28">
        <v>3400000</v>
      </c>
      <c r="F157" s="28">
        <v>3850000</v>
      </c>
      <c r="G157" s="28">
        <v>3850000</v>
      </c>
      <c r="H157" s="28">
        <v>4000000</v>
      </c>
    </row>
    <row r="158" spans="1:10" ht="23.25" thickBot="1">
      <c r="A158" s="17" t="s">
        <v>134</v>
      </c>
      <c r="B158">
        <v>5</v>
      </c>
      <c r="C158" s="28">
        <v>3100000</v>
      </c>
      <c r="D158" s="28">
        <v>3550000</v>
      </c>
      <c r="E158" s="28">
        <v>3400000</v>
      </c>
      <c r="F158" s="28">
        <v>3750000</v>
      </c>
      <c r="G158" s="28">
        <v>3250000</v>
      </c>
      <c r="H158" s="28">
        <v>3300000</v>
      </c>
    </row>
    <row r="159" spans="1:10" ht="23.25" thickBot="1">
      <c r="A159" s="17" t="s">
        <v>135</v>
      </c>
      <c r="B159">
        <v>6</v>
      </c>
      <c r="C159" s="28">
        <v>3100000</v>
      </c>
      <c r="D159" s="28">
        <v>3550000</v>
      </c>
      <c r="E159" s="28">
        <v>3200000</v>
      </c>
      <c r="F159" s="28">
        <v>3100000</v>
      </c>
      <c r="G159" s="28">
        <v>3800000</v>
      </c>
      <c r="H159" s="28">
        <v>3300000</v>
      </c>
    </row>
    <row r="160" spans="1:10" ht="23.25" thickBot="1">
      <c r="A160" s="17" t="s">
        <v>113</v>
      </c>
      <c r="B160">
        <v>7</v>
      </c>
      <c r="C160" s="28">
        <v>3100000</v>
      </c>
      <c r="D160" s="28">
        <v>3550000</v>
      </c>
      <c r="E160" s="28">
        <v>3400000</v>
      </c>
      <c r="F160" s="28">
        <v>3100000</v>
      </c>
      <c r="G160" s="28">
        <v>3100000</v>
      </c>
      <c r="H160" s="28">
        <v>3100000</v>
      </c>
    </row>
    <row r="161" spans="1:10" ht="34.5" thickBot="1">
      <c r="A161" s="17" t="s">
        <v>136</v>
      </c>
      <c r="B161">
        <v>8</v>
      </c>
      <c r="C161" s="28">
        <v>3100000</v>
      </c>
      <c r="D161" s="28">
        <v>3550000</v>
      </c>
      <c r="E161" s="28">
        <v>3400000</v>
      </c>
      <c r="F161" s="28">
        <v>3850000</v>
      </c>
      <c r="G161" s="28">
        <v>3850000</v>
      </c>
      <c r="H161" s="28">
        <v>3700000</v>
      </c>
    </row>
    <row r="162" spans="1:10" ht="34.5" thickBot="1">
      <c r="A162" s="17" t="s">
        <v>137</v>
      </c>
      <c r="B162">
        <v>9</v>
      </c>
      <c r="C162" s="28">
        <v>3100000</v>
      </c>
      <c r="D162" s="28">
        <v>3550000</v>
      </c>
      <c r="E162" s="28">
        <v>3400000</v>
      </c>
      <c r="F162" s="28">
        <v>3800000</v>
      </c>
      <c r="G162" s="28">
        <v>3850000</v>
      </c>
      <c r="H162" s="28">
        <v>3800000</v>
      </c>
    </row>
    <row r="163" spans="1:10" ht="45.75" thickBot="1">
      <c r="A163" s="17" t="s">
        <v>138</v>
      </c>
      <c r="B163">
        <v>10</v>
      </c>
      <c r="C163" s="28">
        <v>3050000</v>
      </c>
      <c r="D163" s="28">
        <v>3550000</v>
      </c>
      <c r="E163" s="28">
        <v>3400000</v>
      </c>
      <c r="F163" s="28">
        <v>3150000</v>
      </c>
      <c r="G163" s="28">
        <v>3850000</v>
      </c>
      <c r="H163" s="28">
        <v>3250000</v>
      </c>
    </row>
    <row r="164" spans="1:10" ht="23.25" thickBot="1">
      <c r="A164" s="17" t="s">
        <v>139</v>
      </c>
      <c r="B164">
        <v>11</v>
      </c>
      <c r="C164" s="28">
        <v>3100000</v>
      </c>
      <c r="D164" s="28">
        <v>3550000</v>
      </c>
      <c r="E164" s="28">
        <v>3400000</v>
      </c>
      <c r="F164" s="28">
        <v>4400000</v>
      </c>
      <c r="G164" s="28">
        <v>3650000</v>
      </c>
      <c r="H164" s="28">
        <v>3900000</v>
      </c>
    </row>
    <row r="165" spans="1:10" ht="23.25" thickBot="1">
      <c r="A165" s="17" t="s">
        <v>140</v>
      </c>
      <c r="B165">
        <v>12</v>
      </c>
      <c r="C165" s="28">
        <v>3100000</v>
      </c>
      <c r="D165" s="28">
        <v>3550000</v>
      </c>
      <c r="E165" s="28">
        <v>3200000</v>
      </c>
      <c r="F165" s="28">
        <v>4000000</v>
      </c>
      <c r="G165" s="28">
        <v>3750000</v>
      </c>
      <c r="H165" s="28">
        <v>3750000</v>
      </c>
    </row>
    <row r="166" spans="1:10" ht="34.5" thickBot="1">
      <c r="A166" s="17" t="s">
        <v>62</v>
      </c>
      <c r="B166">
        <v>13</v>
      </c>
      <c r="C166" s="28">
        <v>3100000</v>
      </c>
      <c r="D166" s="28">
        <v>3550000</v>
      </c>
      <c r="E166" s="28">
        <v>3400000</v>
      </c>
      <c r="F166" s="28">
        <v>3800000</v>
      </c>
      <c r="G166" s="28">
        <v>3850000</v>
      </c>
      <c r="H166" s="28">
        <v>3800000</v>
      </c>
    </row>
    <row r="167" spans="1:10">
      <c r="A167" s="8"/>
      <c r="B167">
        <v>14</v>
      </c>
    </row>
    <row r="168" spans="1:10" ht="13.5" thickBot="1">
      <c r="A168" s="14" t="s">
        <v>154</v>
      </c>
      <c r="B168" s="14" t="s">
        <v>155</v>
      </c>
    </row>
    <row r="169" spans="1:10" ht="34.15" customHeight="1" thickBot="1">
      <c r="A169" s="469" t="s">
        <v>156</v>
      </c>
      <c r="B169" s="471"/>
      <c r="C169" s="469" t="s">
        <v>127</v>
      </c>
      <c r="D169" s="470"/>
      <c r="E169" s="470"/>
      <c r="F169" s="470"/>
      <c r="G169" s="470"/>
      <c r="H169" s="471"/>
    </row>
    <row r="170" spans="1:10" ht="46.5" thickBot="1">
      <c r="A170" s="10" t="s">
        <v>33</v>
      </c>
      <c r="B170" s="16" t="s">
        <v>74</v>
      </c>
      <c r="C170" s="16" t="s">
        <v>63</v>
      </c>
      <c r="D170" s="16" t="s">
        <v>64</v>
      </c>
      <c r="E170" s="16" t="s">
        <v>65</v>
      </c>
      <c r="F170" s="16" t="s">
        <v>66</v>
      </c>
      <c r="G170" s="16" t="s">
        <v>67</v>
      </c>
      <c r="H170" s="16" t="s">
        <v>68</v>
      </c>
    </row>
    <row r="171" spans="1:10" ht="13.5" thickBot="1">
      <c r="A171" s="17" t="s">
        <v>130</v>
      </c>
      <c r="B171">
        <v>1</v>
      </c>
      <c r="C171" s="28">
        <v>325000</v>
      </c>
      <c r="D171" s="28">
        <v>405000</v>
      </c>
      <c r="E171" s="28">
        <v>360000</v>
      </c>
      <c r="F171" s="28">
        <v>435000</v>
      </c>
      <c r="G171" s="28">
        <v>535000</v>
      </c>
      <c r="H171" s="28">
        <v>495000</v>
      </c>
    </row>
    <row r="172" spans="1:10" ht="23.25" thickBot="1">
      <c r="A172" s="17" t="s">
        <v>131</v>
      </c>
      <c r="B172">
        <v>2</v>
      </c>
      <c r="C172" s="28">
        <v>330000</v>
      </c>
      <c r="D172" s="28">
        <v>370000</v>
      </c>
      <c r="E172" s="28">
        <v>320000</v>
      </c>
      <c r="F172" s="28">
        <v>380000</v>
      </c>
      <c r="G172" s="28">
        <v>370000</v>
      </c>
      <c r="H172" s="28">
        <v>360000</v>
      </c>
      <c r="J172" s="34">
        <f ca="1">IF(I173=0,0,OFFSET(B170,$J$83,$M$83))</f>
        <v>0</v>
      </c>
    </row>
    <row r="173" spans="1:10" ht="34.5" thickBot="1">
      <c r="A173" s="17" t="s">
        <v>132</v>
      </c>
      <c r="B173">
        <v>3</v>
      </c>
      <c r="C173" s="28">
        <v>320000</v>
      </c>
      <c r="D173" s="28">
        <v>375000</v>
      </c>
      <c r="E173" s="28">
        <v>335000</v>
      </c>
      <c r="F173" s="28">
        <v>375000</v>
      </c>
      <c r="G173" s="28">
        <v>385000</v>
      </c>
      <c r="H173" s="28">
        <v>375000</v>
      </c>
      <c r="I173">
        <f>I85</f>
        <v>0</v>
      </c>
    </row>
    <row r="174" spans="1:10" ht="34.5" thickBot="1">
      <c r="A174" s="17" t="s">
        <v>133</v>
      </c>
      <c r="B174">
        <v>4</v>
      </c>
      <c r="C174" s="28">
        <v>330000</v>
      </c>
      <c r="D174" s="28">
        <v>375000</v>
      </c>
      <c r="E174" s="28">
        <v>345000</v>
      </c>
      <c r="F174" s="28">
        <v>390000</v>
      </c>
      <c r="G174" s="28">
        <v>445000</v>
      </c>
      <c r="H174" s="28">
        <v>415000</v>
      </c>
    </row>
    <row r="175" spans="1:10" ht="23.25" thickBot="1">
      <c r="A175" s="17" t="s">
        <v>134</v>
      </c>
      <c r="B175">
        <v>5</v>
      </c>
      <c r="C175" s="28">
        <v>325000</v>
      </c>
      <c r="D175" s="28">
        <v>370000</v>
      </c>
      <c r="E175" s="28">
        <v>345000</v>
      </c>
      <c r="F175" s="28">
        <v>375000</v>
      </c>
      <c r="G175" s="28">
        <v>345000</v>
      </c>
      <c r="H175" s="28">
        <v>355000</v>
      </c>
    </row>
    <row r="176" spans="1:10" ht="23.25" thickBot="1">
      <c r="A176" s="17" t="s">
        <v>135</v>
      </c>
      <c r="B176">
        <v>6</v>
      </c>
      <c r="C176" s="28">
        <v>325000</v>
      </c>
      <c r="D176" s="28">
        <v>325000</v>
      </c>
      <c r="E176" s="28">
        <v>370000</v>
      </c>
      <c r="F176" s="28">
        <v>425000</v>
      </c>
      <c r="G176" s="28">
        <v>395000</v>
      </c>
      <c r="H176" s="28">
        <v>390000</v>
      </c>
    </row>
    <row r="177" spans="1:10" ht="23.25" thickBot="1">
      <c r="A177" s="17" t="s">
        <v>113</v>
      </c>
      <c r="B177">
        <v>7</v>
      </c>
      <c r="C177" s="28">
        <v>330000</v>
      </c>
      <c r="D177" s="28">
        <v>370000</v>
      </c>
      <c r="E177" s="28">
        <v>345000</v>
      </c>
      <c r="F177" s="28">
        <v>335000</v>
      </c>
      <c r="G177" s="28">
        <v>350000</v>
      </c>
      <c r="H177" s="28">
        <v>350000</v>
      </c>
    </row>
    <row r="178" spans="1:10" ht="34.5" thickBot="1">
      <c r="A178" s="17" t="s">
        <v>136</v>
      </c>
      <c r="B178">
        <v>8</v>
      </c>
      <c r="C178" s="28">
        <v>330000</v>
      </c>
      <c r="D178" s="28">
        <v>370000</v>
      </c>
      <c r="E178" s="28">
        <v>365000</v>
      </c>
      <c r="F178" s="28">
        <v>400000</v>
      </c>
      <c r="G178" s="28">
        <v>435000</v>
      </c>
      <c r="H178" s="28">
        <v>415000</v>
      </c>
    </row>
    <row r="179" spans="1:10" ht="34.5" thickBot="1">
      <c r="A179" s="17" t="s">
        <v>137</v>
      </c>
      <c r="B179">
        <v>9</v>
      </c>
      <c r="C179" s="28">
        <v>330000</v>
      </c>
      <c r="D179" s="28">
        <v>370000</v>
      </c>
      <c r="E179" s="28">
        <v>395000</v>
      </c>
      <c r="F179" s="28">
        <v>355000</v>
      </c>
      <c r="G179" s="28">
        <v>385000</v>
      </c>
      <c r="H179" s="28">
        <v>375000</v>
      </c>
    </row>
    <row r="180" spans="1:10" ht="45.75" thickBot="1">
      <c r="A180" s="17" t="s">
        <v>138</v>
      </c>
      <c r="B180">
        <v>10</v>
      </c>
      <c r="C180" s="28">
        <v>335000</v>
      </c>
      <c r="D180" s="28">
        <v>370000</v>
      </c>
      <c r="E180" s="28">
        <v>350000</v>
      </c>
      <c r="F180" s="28">
        <v>385000</v>
      </c>
      <c r="G180" s="28">
        <v>420000</v>
      </c>
      <c r="H180" s="28">
        <v>380000</v>
      </c>
    </row>
    <row r="181" spans="1:10" ht="23.25" thickBot="1">
      <c r="A181" s="17" t="s">
        <v>139</v>
      </c>
      <c r="B181">
        <v>11</v>
      </c>
      <c r="C181" s="28">
        <v>330000</v>
      </c>
      <c r="D181" s="28">
        <v>370000</v>
      </c>
      <c r="E181" s="28">
        <v>330000</v>
      </c>
      <c r="F181" s="28">
        <v>390000</v>
      </c>
      <c r="G181" s="28">
        <v>460000</v>
      </c>
      <c r="H181" s="28">
        <v>435000</v>
      </c>
    </row>
    <row r="182" spans="1:10" ht="23.25" thickBot="1">
      <c r="A182" s="17" t="s">
        <v>140</v>
      </c>
      <c r="B182">
        <v>12</v>
      </c>
      <c r="C182" s="28">
        <v>325000</v>
      </c>
      <c r="D182" s="28">
        <v>330000</v>
      </c>
      <c r="E182" s="28">
        <v>370000</v>
      </c>
      <c r="F182" s="28">
        <v>400000</v>
      </c>
      <c r="G182" s="28">
        <v>420000</v>
      </c>
      <c r="H182" s="28">
        <v>405000</v>
      </c>
    </row>
    <row r="183" spans="1:10" ht="34.5" thickBot="1">
      <c r="A183" s="17" t="s">
        <v>62</v>
      </c>
      <c r="B183">
        <v>13</v>
      </c>
      <c r="C183" s="28">
        <v>330000</v>
      </c>
      <c r="D183" s="28">
        <v>370000</v>
      </c>
      <c r="E183" s="28">
        <v>345000</v>
      </c>
      <c r="F183" s="28">
        <v>400000</v>
      </c>
      <c r="G183" s="28">
        <v>415000</v>
      </c>
      <c r="H183" s="28">
        <v>405000</v>
      </c>
    </row>
    <row r="184" spans="1:10" ht="19.5">
      <c r="A184" s="13"/>
      <c r="B184">
        <v>14</v>
      </c>
    </row>
    <row r="185" spans="1:10" ht="19.5">
      <c r="A185" s="13" t="s">
        <v>69</v>
      </c>
      <c r="B185" s="13" t="s">
        <v>70</v>
      </c>
    </row>
    <row r="186" spans="1:10" ht="13.5" thickBot="1">
      <c r="A186" s="14" t="s">
        <v>157</v>
      </c>
      <c r="B186" s="14" t="s">
        <v>158</v>
      </c>
    </row>
    <row r="187" spans="1:10" ht="34.15" customHeight="1" thickBot="1">
      <c r="A187" s="469" t="s">
        <v>159</v>
      </c>
      <c r="B187" s="471"/>
      <c r="C187" s="469" t="s">
        <v>127</v>
      </c>
      <c r="D187" s="470"/>
      <c r="E187" s="470"/>
      <c r="F187" s="470"/>
      <c r="G187" s="470"/>
      <c r="H187" s="471"/>
    </row>
    <row r="188" spans="1:10" ht="46.5" thickBot="1">
      <c r="A188" s="19" t="s">
        <v>33</v>
      </c>
      <c r="B188" s="16" t="s">
        <v>74</v>
      </c>
      <c r="C188" s="16" t="s">
        <v>63</v>
      </c>
      <c r="D188" s="16" t="s">
        <v>64</v>
      </c>
      <c r="E188" s="16" t="s">
        <v>65</v>
      </c>
      <c r="F188" s="16" t="s">
        <v>66</v>
      </c>
      <c r="G188" s="16" t="s">
        <v>67</v>
      </c>
      <c r="H188" s="16" t="s">
        <v>68</v>
      </c>
    </row>
    <row r="189" spans="1:10" ht="13.5" thickBot="1">
      <c r="A189" s="17" t="s">
        <v>130</v>
      </c>
      <c r="B189">
        <v>1</v>
      </c>
      <c r="C189" s="28">
        <v>19000</v>
      </c>
      <c r="D189" s="28">
        <v>20000</v>
      </c>
      <c r="E189" s="28">
        <v>21000</v>
      </c>
      <c r="F189" s="28">
        <v>31000</v>
      </c>
      <c r="G189" s="28">
        <v>28000</v>
      </c>
      <c r="H189" s="28">
        <v>28000</v>
      </c>
    </row>
    <row r="190" spans="1:10" ht="23.25" thickBot="1">
      <c r="A190" s="17" t="s">
        <v>131</v>
      </c>
      <c r="B190">
        <v>2</v>
      </c>
      <c r="C190" s="28">
        <v>18000</v>
      </c>
      <c r="D190" s="28">
        <v>19000</v>
      </c>
      <c r="E190" s="28">
        <v>15000</v>
      </c>
      <c r="F190" s="28">
        <v>30000</v>
      </c>
      <c r="G190" s="28">
        <v>20000</v>
      </c>
      <c r="H190" s="28">
        <v>21000</v>
      </c>
      <c r="J190" s="34">
        <f ca="1">IF(I191=0,0,OFFSET(B188,$J$83,$M$83))</f>
        <v>0</v>
      </c>
    </row>
    <row r="191" spans="1:10" ht="34.5" thickBot="1">
      <c r="A191" s="17" t="s">
        <v>132</v>
      </c>
      <c r="B191">
        <v>3</v>
      </c>
      <c r="C191" s="28">
        <v>18000</v>
      </c>
      <c r="D191" s="28">
        <v>19000</v>
      </c>
      <c r="E191" s="28">
        <v>16000</v>
      </c>
      <c r="F191" s="28">
        <v>34000</v>
      </c>
      <c r="G191" s="28">
        <v>22000</v>
      </c>
      <c r="H191" s="28">
        <v>22000</v>
      </c>
      <c r="I191">
        <f>I85</f>
        <v>0</v>
      </c>
    </row>
    <row r="192" spans="1:10" ht="34.5" thickBot="1">
      <c r="A192" s="17" t="s">
        <v>133</v>
      </c>
      <c r="B192">
        <v>4</v>
      </c>
      <c r="C192" s="28">
        <v>18000</v>
      </c>
      <c r="D192" s="28">
        <v>19000</v>
      </c>
      <c r="E192" s="28">
        <v>18000</v>
      </c>
      <c r="F192" s="28">
        <v>32000</v>
      </c>
      <c r="G192" s="28">
        <v>25000</v>
      </c>
      <c r="H192" s="28">
        <v>24000</v>
      </c>
    </row>
    <row r="193" spans="1:10" ht="23.25" thickBot="1">
      <c r="A193" s="17" t="s">
        <v>134</v>
      </c>
      <c r="B193">
        <v>5</v>
      </c>
      <c r="C193" s="28">
        <v>18000</v>
      </c>
      <c r="D193" s="28">
        <v>18000</v>
      </c>
      <c r="E193" s="28">
        <v>16000</v>
      </c>
      <c r="F193" s="28">
        <v>22000</v>
      </c>
      <c r="G193" s="28">
        <v>20000</v>
      </c>
      <c r="H193" s="28">
        <v>21000</v>
      </c>
    </row>
    <row r="194" spans="1:10" ht="23.25" thickBot="1">
      <c r="A194" s="17" t="s">
        <v>135</v>
      </c>
      <c r="B194">
        <v>6</v>
      </c>
      <c r="C194" s="28">
        <v>17000</v>
      </c>
      <c r="D194" s="28">
        <v>16000</v>
      </c>
      <c r="E194" s="28">
        <v>19000</v>
      </c>
      <c r="F194" s="28">
        <v>27000</v>
      </c>
      <c r="G194" s="28">
        <v>21000</v>
      </c>
      <c r="H194" s="28">
        <v>22000</v>
      </c>
    </row>
    <row r="195" spans="1:10" ht="23.25" thickBot="1">
      <c r="A195" s="17" t="s">
        <v>113</v>
      </c>
      <c r="B195">
        <v>7</v>
      </c>
      <c r="C195" s="28">
        <v>18000</v>
      </c>
      <c r="D195" s="28">
        <v>19000</v>
      </c>
      <c r="E195" s="28">
        <v>18000</v>
      </c>
      <c r="F195" s="28">
        <v>30000</v>
      </c>
      <c r="G195" s="28">
        <v>18000</v>
      </c>
      <c r="H195" s="28">
        <v>19000</v>
      </c>
    </row>
    <row r="196" spans="1:10" ht="34.5" thickBot="1">
      <c r="A196" s="17" t="s">
        <v>136</v>
      </c>
      <c r="B196">
        <v>8</v>
      </c>
      <c r="C196" s="28">
        <v>17000</v>
      </c>
      <c r="D196" s="28">
        <v>18000</v>
      </c>
      <c r="E196" s="28">
        <v>20000</v>
      </c>
      <c r="F196" s="28">
        <v>31000</v>
      </c>
      <c r="G196" s="28">
        <v>27000</v>
      </c>
      <c r="H196" s="28">
        <v>27000</v>
      </c>
    </row>
    <row r="197" spans="1:10" ht="34.5" thickBot="1">
      <c r="A197" s="17" t="s">
        <v>137</v>
      </c>
      <c r="B197">
        <v>9</v>
      </c>
      <c r="C197" s="28">
        <v>20000</v>
      </c>
      <c r="D197" s="28">
        <v>16000</v>
      </c>
      <c r="E197" s="28">
        <v>18000</v>
      </c>
      <c r="F197" s="28">
        <v>31000</v>
      </c>
      <c r="G197" s="28">
        <v>23000</v>
      </c>
      <c r="H197" s="28">
        <v>23000</v>
      </c>
    </row>
    <row r="198" spans="1:10" ht="45.75" thickBot="1">
      <c r="A198" s="17" t="s">
        <v>138</v>
      </c>
      <c r="B198">
        <v>10</v>
      </c>
      <c r="C198" s="28">
        <v>16000</v>
      </c>
      <c r="D198" s="28">
        <v>15000</v>
      </c>
      <c r="E198" s="28">
        <v>22000</v>
      </c>
      <c r="F198" s="28">
        <v>28000</v>
      </c>
      <c r="G198" s="28">
        <v>23000</v>
      </c>
      <c r="H198" s="28">
        <v>24000</v>
      </c>
    </row>
    <row r="199" spans="1:10" ht="23.25" thickBot="1">
      <c r="A199" s="17" t="s">
        <v>139</v>
      </c>
      <c r="B199">
        <v>11</v>
      </c>
      <c r="C199" s="28">
        <v>18000</v>
      </c>
      <c r="D199" s="28">
        <v>18000</v>
      </c>
      <c r="E199" s="28">
        <v>20000</v>
      </c>
      <c r="F199" s="28">
        <v>31000</v>
      </c>
      <c r="G199" s="28">
        <v>29000</v>
      </c>
      <c r="H199" s="28">
        <v>29000</v>
      </c>
    </row>
    <row r="200" spans="1:10" ht="23.25" thickBot="1">
      <c r="A200" s="17" t="s">
        <v>140</v>
      </c>
      <c r="B200">
        <v>12</v>
      </c>
      <c r="C200" s="28">
        <v>17000</v>
      </c>
      <c r="D200" s="28">
        <v>17000</v>
      </c>
      <c r="E200" s="28">
        <v>19000</v>
      </c>
      <c r="F200" s="28">
        <v>31000</v>
      </c>
      <c r="G200" s="28">
        <v>27000</v>
      </c>
      <c r="H200" s="28">
        <v>27000</v>
      </c>
    </row>
    <row r="201" spans="1:10" ht="34.5" thickBot="1">
      <c r="A201" s="17" t="s">
        <v>62</v>
      </c>
      <c r="B201">
        <v>13</v>
      </c>
      <c r="C201" s="28">
        <v>18000</v>
      </c>
      <c r="D201" s="28">
        <v>19000</v>
      </c>
      <c r="E201" s="28">
        <v>18000</v>
      </c>
      <c r="F201" s="28">
        <v>32000</v>
      </c>
      <c r="G201" s="28">
        <v>23000</v>
      </c>
      <c r="H201" s="28">
        <v>24000</v>
      </c>
    </row>
    <row r="202" spans="1:10">
      <c r="A202" s="8"/>
      <c r="B202">
        <v>14</v>
      </c>
    </row>
    <row r="203" spans="1:10" ht="13.5" thickBot="1">
      <c r="A203" s="14" t="s">
        <v>160</v>
      </c>
      <c r="B203" s="14" t="s">
        <v>161</v>
      </c>
    </row>
    <row r="204" spans="1:10" ht="34.15" customHeight="1" thickBot="1">
      <c r="A204" s="469" t="s">
        <v>162</v>
      </c>
      <c r="B204" s="471"/>
      <c r="C204" s="469" t="s">
        <v>127</v>
      </c>
      <c r="D204" s="470"/>
      <c r="E204" s="470"/>
      <c r="F204" s="470"/>
      <c r="G204" s="470"/>
      <c r="H204" s="471"/>
    </row>
    <row r="205" spans="1:10" ht="46.5" thickBot="1">
      <c r="A205" s="19" t="s">
        <v>33</v>
      </c>
      <c r="B205" s="16" t="s">
        <v>74</v>
      </c>
      <c r="C205" s="16" t="s">
        <v>63</v>
      </c>
      <c r="D205" s="16" t="s">
        <v>64</v>
      </c>
      <c r="E205" s="16" t="s">
        <v>65</v>
      </c>
      <c r="F205" s="16" t="s">
        <v>66</v>
      </c>
      <c r="G205" s="16" t="s">
        <v>67</v>
      </c>
      <c r="H205" s="16" t="s">
        <v>68</v>
      </c>
    </row>
    <row r="206" spans="1:10" ht="13.5" thickBot="1">
      <c r="A206" s="17" t="s">
        <v>130</v>
      </c>
      <c r="B206">
        <v>1</v>
      </c>
      <c r="C206" s="28">
        <v>1200</v>
      </c>
      <c r="D206" s="28">
        <v>1600</v>
      </c>
      <c r="E206" s="28">
        <v>4300</v>
      </c>
      <c r="F206" s="28">
        <v>7700</v>
      </c>
      <c r="G206" s="28">
        <v>2500</v>
      </c>
      <c r="H206" s="28">
        <v>3500</v>
      </c>
    </row>
    <row r="207" spans="1:10" ht="23.25" thickBot="1">
      <c r="A207" s="17" t="s">
        <v>131</v>
      </c>
      <c r="B207">
        <v>2</v>
      </c>
      <c r="C207" s="28">
        <v>1200</v>
      </c>
      <c r="D207" s="28">
        <v>1600</v>
      </c>
      <c r="E207" s="28">
        <v>3200</v>
      </c>
      <c r="F207" s="28">
        <v>6800</v>
      </c>
      <c r="G207" s="28">
        <v>1500</v>
      </c>
      <c r="H207" s="28">
        <v>2400</v>
      </c>
      <c r="J207" s="34">
        <f ca="1">IF(I208=0,0,OFFSET(B205,$J$83,$M$83))</f>
        <v>0</v>
      </c>
    </row>
    <row r="208" spans="1:10" ht="34.5" thickBot="1">
      <c r="A208" s="17" t="s">
        <v>132</v>
      </c>
      <c r="B208">
        <v>3</v>
      </c>
      <c r="C208" s="28">
        <v>1200</v>
      </c>
      <c r="D208" s="28">
        <v>1300</v>
      </c>
      <c r="E208" s="28">
        <v>1100</v>
      </c>
      <c r="F208" s="28">
        <v>6300</v>
      </c>
      <c r="G208" s="28">
        <v>1300</v>
      </c>
      <c r="H208" s="28">
        <v>1600</v>
      </c>
      <c r="I208">
        <f>I85</f>
        <v>0</v>
      </c>
    </row>
    <row r="209" spans="1:8" ht="34.5" thickBot="1">
      <c r="A209" s="17" t="s">
        <v>133</v>
      </c>
      <c r="B209">
        <v>4</v>
      </c>
      <c r="C209" s="28">
        <v>1200</v>
      </c>
      <c r="D209" s="28">
        <v>1300</v>
      </c>
      <c r="E209" s="29">
        <v>800</v>
      </c>
      <c r="F209" s="28">
        <v>6700</v>
      </c>
      <c r="G209" s="28">
        <v>1700</v>
      </c>
      <c r="H209" s="28">
        <v>2600</v>
      </c>
    </row>
    <row r="210" spans="1:8" ht="23.25" thickBot="1">
      <c r="A210" s="17" t="s">
        <v>134</v>
      </c>
      <c r="B210">
        <v>5</v>
      </c>
      <c r="C210" s="28">
        <v>1200</v>
      </c>
      <c r="D210" s="28">
        <v>1300</v>
      </c>
      <c r="E210" s="28">
        <v>6700</v>
      </c>
      <c r="F210" s="28">
        <v>6500</v>
      </c>
      <c r="G210" s="28">
        <v>1700</v>
      </c>
      <c r="H210" s="28">
        <v>3700</v>
      </c>
    </row>
    <row r="211" spans="1:8" ht="23.25" thickBot="1">
      <c r="A211" s="17" t="s">
        <v>135</v>
      </c>
      <c r="B211">
        <v>6</v>
      </c>
      <c r="C211" s="28">
        <v>1200</v>
      </c>
      <c r="D211" s="28">
        <v>1500</v>
      </c>
      <c r="E211" s="28">
        <v>4100</v>
      </c>
      <c r="F211" s="28">
        <v>7400</v>
      </c>
      <c r="G211" s="28">
        <v>2500</v>
      </c>
      <c r="H211" s="28">
        <v>3900</v>
      </c>
    </row>
    <row r="212" spans="1:8" ht="23.25" thickBot="1">
      <c r="A212" s="17" t="s">
        <v>113</v>
      </c>
      <c r="B212">
        <v>7</v>
      </c>
      <c r="C212" s="28">
        <v>1200</v>
      </c>
      <c r="D212" s="28">
        <v>1500</v>
      </c>
      <c r="E212" s="28">
        <v>2900</v>
      </c>
      <c r="F212" s="28">
        <v>6700</v>
      </c>
      <c r="G212" s="28">
        <v>1400</v>
      </c>
      <c r="H212" s="28">
        <v>2700</v>
      </c>
    </row>
    <row r="213" spans="1:8" ht="34.5" thickBot="1">
      <c r="A213" s="17" t="s">
        <v>136</v>
      </c>
      <c r="B213">
        <v>8</v>
      </c>
      <c r="C213" s="28">
        <v>1200</v>
      </c>
      <c r="D213" s="28">
        <v>1300</v>
      </c>
      <c r="E213" s="28">
        <v>5100</v>
      </c>
      <c r="F213" s="28">
        <v>7700</v>
      </c>
      <c r="G213" s="28">
        <v>2400</v>
      </c>
      <c r="H213" s="28">
        <v>3000</v>
      </c>
    </row>
    <row r="214" spans="1:8" ht="34.5" thickBot="1">
      <c r="A214" s="17" t="s">
        <v>137</v>
      </c>
      <c r="B214">
        <v>9</v>
      </c>
      <c r="C214" s="28">
        <v>1200</v>
      </c>
      <c r="D214" s="28">
        <v>1900</v>
      </c>
      <c r="E214" s="28">
        <v>4400</v>
      </c>
      <c r="F214" s="28">
        <v>7500</v>
      </c>
      <c r="G214" s="28">
        <v>2500</v>
      </c>
      <c r="H214" s="28">
        <v>2900</v>
      </c>
    </row>
    <row r="215" spans="1:8" ht="45.75" thickBot="1">
      <c r="A215" s="17" t="s">
        <v>138</v>
      </c>
      <c r="B215">
        <v>10</v>
      </c>
      <c r="C215" s="28">
        <v>1200</v>
      </c>
      <c r="D215" s="28">
        <v>1300</v>
      </c>
      <c r="E215" s="28">
        <v>5200</v>
      </c>
      <c r="F215" s="28">
        <v>7500</v>
      </c>
      <c r="G215" s="28">
        <v>2500</v>
      </c>
      <c r="H215" s="28">
        <v>3300</v>
      </c>
    </row>
    <row r="216" spans="1:8" ht="23.25" thickBot="1">
      <c r="A216" s="17" t="s">
        <v>139</v>
      </c>
      <c r="B216">
        <v>11</v>
      </c>
      <c r="C216" s="28">
        <v>1200</v>
      </c>
      <c r="D216" s="28">
        <v>1500</v>
      </c>
      <c r="E216" s="28">
        <v>4900</v>
      </c>
      <c r="F216" s="28">
        <v>7600</v>
      </c>
      <c r="G216" s="28">
        <v>2500</v>
      </c>
      <c r="H216" s="28">
        <v>3200</v>
      </c>
    </row>
    <row r="217" spans="1:8" ht="23.25" thickBot="1">
      <c r="A217" s="17" t="s">
        <v>140</v>
      </c>
      <c r="B217">
        <v>12</v>
      </c>
      <c r="C217" s="28">
        <v>1200</v>
      </c>
      <c r="D217" s="28">
        <v>1300</v>
      </c>
      <c r="E217" s="28">
        <v>3200</v>
      </c>
      <c r="F217" s="28">
        <v>7500</v>
      </c>
      <c r="G217" s="28">
        <v>2400</v>
      </c>
      <c r="H217" s="28">
        <v>3200</v>
      </c>
    </row>
    <row r="218" spans="1:8" ht="34.5" thickBot="1">
      <c r="A218" s="17" t="s">
        <v>62</v>
      </c>
      <c r="B218">
        <v>13</v>
      </c>
      <c r="C218" s="28">
        <v>1200</v>
      </c>
      <c r="D218" s="28">
        <v>1500</v>
      </c>
      <c r="E218" s="28">
        <v>2900</v>
      </c>
      <c r="F218" s="28">
        <v>7100</v>
      </c>
      <c r="G218" s="28">
        <v>1800</v>
      </c>
      <c r="H218" s="28">
        <v>2400</v>
      </c>
    </row>
    <row r="219" spans="1:8">
      <c r="B219">
        <v>14</v>
      </c>
    </row>
    <row r="222" spans="1:8" ht="19.5">
      <c r="A222" s="13" t="s">
        <v>69</v>
      </c>
      <c r="B222" s="13" t="s">
        <v>70</v>
      </c>
    </row>
    <row r="223" spans="1:8">
      <c r="A223" s="14" t="s">
        <v>71</v>
      </c>
      <c r="B223" s="14" t="s">
        <v>72</v>
      </c>
    </row>
    <row r="224" spans="1:8" ht="13.5" thickBot="1">
      <c r="A224" s="14" t="s">
        <v>73</v>
      </c>
    </row>
    <row r="225" spans="1:8" ht="13.15" customHeight="1">
      <c r="A225" s="9" t="s">
        <v>33</v>
      </c>
      <c r="B225" s="9" t="s">
        <v>74</v>
      </c>
      <c r="C225" s="15" t="s">
        <v>75</v>
      </c>
      <c r="D225" s="15" t="s">
        <v>77</v>
      </c>
    </row>
    <row r="226" spans="1:8" ht="24" thickBot="1">
      <c r="A226" s="10"/>
      <c r="B226" s="10"/>
      <c r="C226" s="16" t="s">
        <v>76</v>
      </c>
      <c r="D226" s="16" t="s">
        <v>76</v>
      </c>
      <c r="F226" s="34" t="str">
        <f>IF('SP11-6'!E9="","",LOOKUP('SP11-6'!E9,{50,70,100},{"0","17","35"}))</f>
        <v/>
      </c>
      <c r="G226" s="34" t="str">
        <f ca="1">IF(F226="","",OFFSET(B226,J83+F226,1))</f>
        <v/>
      </c>
      <c r="H226" s="34" t="str">
        <f ca="1">IF(F226="","",OFFSET(B226,J83+F226,2))</f>
        <v/>
      </c>
    </row>
    <row r="227" spans="1:8" ht="13.5" thickBot="1">
      <c r="A227" s="17" t="s">
        <v>78</v>
      </c>
      <c r="B227" s="11" t="s">
        <v>51</v>
      </c>
      <c r="C227" s="11">
        <v>0.13</v>
      </c>
      <c r="D227" s="11">
        <v>0.87</v>
      </c>
    </row>
    <row r="228" spans="1:8" ht="23.25" thickBot="1">
      <c r="A228" s="17" t="s">
        <v>79</v>
      </c>
      <c r="B228" s="11" t="s">
        <v>37</v>
      </c>
      <c r="C228" s="11">
        <v>0.04</v>
      </c>
      <c r="D228" s="11">
        <v>0.96</v>
      </c>
    </row>
    <row r="229" spans="1:8" ht="34.5" thickBot="1">
      <c r="A229" s="17" t="s">
        <v>80</v>
      </c>
      <c r="B229" s="11" t="s">
        <v>52</v>
      </c>
      <c r="C229" s="11">
        <v>0.11</v>
      </c>
      <c r="D229" s="11">
        <v>0.89</v>
      </c>
    </row>
    <row r="230" spans="1:8" ht="34.5" thickBot="1">
      <c r="A230" s="17" t="s">
        <v>81</v>
      </c>
      <c r="B230" s="11" t="s">
        <v>53</v>
      </c>
      <c r="C230" s="11">
        <v>0.08</v>
      </c>
      <c r="D230" s="11">
        <v>0.92</v>
      </c>
    </row>
    <row r="231" spans="1:8" ht="23.25" thickBot="1">
      <c r="A231" s="17" t="s">
        <v>82</v>
      </c>
      <c r="B231" s="11" t="s">
        <v>54</v>
      </c>
      <c r="C231" s="11">
        <v>0.17</v>
      </c>
      <c r="D231" s="11">
        <v>0.83</v>
      </c>
    </row>
    <row r="232" spans="1:8" ht="23.25" thickBot="1">
      <c r="A232" s="17" t="s">
        <v>83</v>
      </c>
      <c r="B232" s="11" t="s">
        <v>84</v>
      </c>
      <c r="C232" s="11">
        <v>0.05</v>
      </c>
      <c r="D232" s="11">
        <v>0.95</v>
      </c>
    </row>
    <row r="233" spans="1:8" ht="23.25" thickBot="1">
      <c r="A233" s="17" t="s">
        <v>85</v>
      </c>
      <c r="B233" s="11" t="s">
        <v>86</v>
      </c>
      <c r="C233" s="11">
        <v>0.1</v>
      </c>
      <c r="D233" s="11">
        <v>0.9</v>
      </c>
    </row>
    <row r="234" spans="1:8" ht="34.5" thickBot="1">
      <c r="A234" s="17" t="s">
        <v>87</v>
      </c>
      <c r="B234" s="11" t="s">
        <v>88</v>
      </c>
      <c r="C234" s="11">
        <v>7.0000000000000007E-2</v>
      </c>
      <c r="D234" s="11">
        <v>0.93</v>
      </c>
    </row>
    <row r="235" spans="1:8" ht="34.5" thickBot="1">
      <c r="A235" s="17" t="s">
        <v>89</v>
      </c>
      <c r="B235" s="11" t="s">
        <v>90</v>
      </c>
      <c r="C235" s="11">
        <v>0.08</v>
      </c>
      <c r="D235" s="11">
        <v>0.92</v>
      </c>
    </row>
    <row r="236" spans="1:8" ht="45.75" thickBot="1">
      <c r="A236" s="17" t="s">
        <v>91</v>
      </c>
      <c r="B236" s="11" t="s">
        <v>92</v>
      </c>
      <c r="C236" s="11">
        <v>0.06</v>
      </c>
      <c r="D236" s="11">
        <v>0.94</v>
      </c>
    </row>
    <row r="237" spans="1:8" ht="23.25" thickBot="1">
      <c r="A237" s="17" t="s">
        <v>93</v>
      </c>
      <c r="B237" s="11" t="s">
        <v>94</v>
      </c>
      <c r="C237" s="11">
        <v>7.0000000000000007E-2</v>
      </c>
      <c r="D237" s="11">
        <v>0.93</v>
      </c>
    </row>
    <row r="238" spans="1:8" ht="23.25" thickBot="1">
      <c r="A238" s="17" t="s">
        <v>95</v>
      </c>
      <c r="B238" s="11" t="s">
        <v>96</v>
      </c>
      <c r="C238" s="11">
        <v>0.03</v>
      </c>
      <c r="D238" s="11">
        <v>0.97</v>
      </c>
    </row>
    <row r="239" spans="1:8" ht="34.5" thickBot="1">
      <c r="A239" s="17" t="s">
        <v>97</v>
      </c>
      <c r="B239" s="18"/>
      <c r="C239" s="11">
        <v>0.08</v>
      </c>
      <c r="D239" s="11">
        <v>0.92</v>
      </c>
    </row>
    <row r="240" spans="1:8">
      <c r="A240" s="8"/>
    </row>
    <row r="241" spans="1:4" ht="13.5" thickBot="1">
      <c r="A241" s="14" t="s">
        <v>98</v>
      </c>
      <c r="B241" s="14" t="s">
        <v>99</v>
      </c>
    </row>
    <row r="242" spans="1:4" ht="13.15" customHeight="1">
      <c r="A242" s="9" t="s">
        <v>33</v>
      </c>
      <c r="B242" s="9" t="s">
        <v>74</v>
      </c>
      <c r="C242" s="15" t="s">
        <v>75</v>
      </c>
      <c r="D242" s="15" t="s">
        <v>77</v>
      </c>
    </row>
    <row r="243" spans="1:4" ht="24" thickBot="1">
      <c r="A243" s="10"/>
      <c r="B243" s="10"/>
      <c r="C243" s="16" t="s">
        <v>76</v>
      </c>
      <c r="D243" s="16" t="s">
        <v>76</v>
      </c>
    </row>
    <row r="244" spans="1:4" ht="13.5" thickBot="1">
      <c r="A244" s="17" t="s">
        <v>78</v>
      </c>
      <c r="B244" s="11" t="s">
        <v>100</v>
      </c>
      <c r="C244" s="11">
        <v>0.24</v>
      </c>
      <c r="D244" s="11">
        <v>0.76</v>
      </c>
    </row>
    <row r="245" spans="1:4" ht="23.25" thickBot="1">
      <c r="A245" s="17" t="s">
        <v>79</v>
      </c>
      <c r="B245" s="11" t="s">
        <v>101</v>
      </c>
      <c r="C245" s="11">
        <v>0.1</v>
      </c>
      <c r="D245" s="11">
        <v>0.9</v>
      </c>
    </row>
    <row r="246" spans="1:4" ht="34.5" thickBot="1">
      <c r="A246" s="17" t="s">
        <v>102</v>
      </c>
      <c r="B246" s="11" t="s">
        <v>103</v>
      </c>
      <c r="C246" s="11">
        <v>0.2</v>
      </c>
      <c r="D246" s="11">
        <v>0.8</v>
      </c>
    </row>
    <row r="247" spans="1:4" ht="34.5" thickBot="1">
      <c r="A247" s="17" t="s">
        <v>81</v>
      </c>
      <c r="B247" s="11" t="s">
        <v>104</v>
      </c>
      <c r="C247" s="11">
        <v>0.14000000000000001</v>
      </c>
      <c r="D247" s="11">
        <v>0.86</v>
      </c>
    </row>
    <row r="248" spans="1:4" ht="23.25" thickBot="1">
      <c r="A248" s="17" t="s">
        <v>82</v>
      </c>
      <c r="B248" s="11" t="s">
        <v>105</v>
      </c>
      <c r="C248" s="11">
        <v>0.3</v>
      </c>
      <c r="D248" s="11">
        <v>0.7</v>
      </c>
    </row>
    <row r="249" spans="1:4" ht="23.25" thickBot="1">
      <c r="A249" s="17" t="s">
        <v>83</v>
      </c>
      <c r="B249" s="11" t="s">
        <v>84</v>
      </c>
      <c r="C249" s="11">
        <v>0.12</v>
      </c>
      <c r="D249" s="11">
        <v>0.88</v>
      </c>
    </row>
    <row r="250" spans="1:4" ht="23.25" thickBot="1">
      <c r="A250" s="17" t="s">
        <v>85</v>
      </c>
      <c r="B250" s="11" t="s">
        <v>86</v>
      </c>
      <c r="C250" s="11">
        <v>0.3</v>
      </c>
      <c r="D250" s="11">
        <v>0.7</v>
      </c>
    </row>
    <row r="251" spans="1:4" ht="34.5" thickBot="1">
      <c r="A251" s="17" t="s">
        <v>87</v>
      </c>
      <c r="B251" s="11" t="s">
        <v>88</v>
      </c>
      <c r="C251" s="11">
        <v>0.16</v>
      </c>
      <c r="D251" s="11">
        <v>0.84</v>
      </c>
    </row>
    <row r="252" spans="1:4" ht="34.5" thickBot="1">
      <c r="A252" s="17" t="s">
        <v>89</v>
      </c>
      <c r="B252" s="11" t="s">
        <v>90</v>
      </c>
      <c r="C252" s="11">
        <v>0.14000000000000001</v>
      </c>
      <c r="D252" s="11">
        <v>0.86</v>
      </c>
    </row>
    <row r="253" spans="1:4" ht="45.75" thickBot="1">
      <c r="A253" s="17" t="s">
        <v>91</v>
      </c>
      <c r="B253" s="11" t="s">
        <v>92</v>
      </c>
      <c r="C253" s="11">
        <v>0.15</v>
      </c>
      <c r="D253" s="11">
        <v>0.85</v>
      </c>
    </row>
    <row r="254" spans="1:4" ht="23.25" thickBot="1">
      <c r="A254" s="17" t="s">
        <v>93</v>
      </c>
      <c r="B254" s="11" t="s">
        <v>94</v>
      </c>
      <c r="C254" s="11">
        <v>0.21</v>
      </c>
      <c r="D254" s="11">
        <v>0.79</v>
      </c>
    </row>
    <row r="255" spans="1:4" ht="23.25" thickBot="1">
      <c r="A255" s="17" t="s">
        <v>95</v>
      </c>
      <c r="B255" s="11" t="s">
        <v>96</v>
      </c>
      <c r="C255" s="11">
        <v>0.09</v>
      </c>
      <c r="D255" s="11">
        <v>0.91</v>
      </c>
    </row>
    <row r="256" spans="1:4" ht="34.5" thickBot="1">
      <c r="A256" s="17" t="s">
        <v>97</v>
      </c>
      <c r="B256" s="18"/>
      <c r="C256" s="11">
        <v>0.18</v>
      </c>
      <c r="D256" s="11">
        <v>0.82</v>
      </c>
    </row>
    <row r="257" spans="1:4" ht="19.5">
      <c r="A257" s="13"/>
    </row>
    <row r="258" spans="1:4" ht="19.5">
      <c r="A258" s="13" t="s">
        <v>69</v>
      </c>
      <c r="B258" s="13" t="s">
        <v>70</v>
      </c>
    </row>
    <row r="259" spans="1:4" ht="13.5" thickBot="1">
      <c r="A259" s="14" t="s">
        <v>106</v>
      </c>
      <c r="B259" s="14" t="s">
        <v>107</v>
      </c>
    </row>
    <row r="260" spans="1:4" ht="13.15" customHeight="1">
      <c r="A260" s="9" t="s">
        <v>33</v>
      </c>
      <c r="B260" s="9" t="s">
        <v>74</v>
      </c>
      <c r="C260" s="15" t="s">
        <v>108</v>
      </c>
      <c r="D260" s="15" t="s">
        <v>109</v>
      </c>
    </row>
    <row r="261" spans="1:4" ht="24" thickBot="1">
      <c r="A261" s="10"/>
      <c r="B261" s="10"/>
      <c r="C261" s="16" t="s">
        <v>76</v>
      </c>
      <c r="D261" s="16" t="s">
        <v>76</v>
      </c>
    </row>
    <row r="262" spans="1:4" ht="13.5" thickBot="1">
      <c r="A262" s="17" t="s">
        <v>78</v>
      </c>
      <c r="B262" s="11" t="s">
        <v>51</v>
      </c>
      <c r="C262" s="11">
        <v>0.33</v>
      </c>
      <c r="D262" s="11">
        <v>0.67</v>
      </c>
    </row>
    <row r="263" spans="1:4" ht="23.25" thickBot="1">
      <c r="A263" s="17" t="s">
        <v>79</v>
      </c>
      <c r="B263" s="11" t="s">
        <v>37</v>
      </c>
      <c r="C263" s="11">
        <v>0.11</v>
      </c>
      <c r="D263" s="11">
        <v>0.89</v>
      </c>
    </row>
    <row r="264" spans="1:4" ht="34.5" thickBot="1">
      <c r="A264" s="17" t="s">
        <v>102</v>
      </c>
      <c r="B264" s="11" t="s">
        <v>52</v>
      </c>
      <c r="C264" s="11">
        <v>0.17</v>
      </c>
      <c r="D264" s="11">
        <v>0.83</v>
      </c>
    </row>
    <row r="265" spans="1:4" ht="34.5" thickBot="1">
      <c r="A265" s="17" t="s">
        <v>81</v>
      </c>
      <c r="B265" s="11" t="s">
        <v>53</v>
      </c>
      <c r="C265" s="11">
        <v>0.16</v>
      </c>
      <c r="D265" s="11">
        <v>0.84</v>
      </c>
    </row>
    <row r="266" spans="1:4" ht="23.25" thickBot="1">
      <c r="A266" s="17" t="s">
        <v>82</v>
      </c>
      <c r="B266" s="11" t="s">
        <v>54</v>
      </c>
      <c r="C266" s="11">
        <v>0.34</v>
      </c>
      <c r="D266" s="11">
        <v>0.66</v>
      </c>
    </row>
    <row r="267" spans="1:4" ht="23.25" thickBot="1">
      <c r="A267" s="17" t="s">
        <v>83</v>
      </c>
      <c r="B267" s="11" t="s">
        <v>55</v>
      </c>
      <c r="C267" s="11">
        <v>0.14000000000000001</v>
      </c>
      <c r="D267" s="11">
        <v>0.86</v>
      </c>
    </row>
    <row r="268" spans="1:4" ht="23.25" thickBot="1">
      <c r="A268" s="17" t="s">
        <v>85</v>
      </c>
      <c r="B268" s="11" t="s">
        <v>56</v>
      </c>
      <c r="C268" s="11">
        <v>0.45</v>
      </c>
      <c r="D268" s="11">
        <v>0.55000000000000004</v>
      </c>
    </row>
    <row r="269" spans="1:4" ht="34.5" thickBot="1">
      <c r="A269" s="17" t="s">
        <v>87</v>
      </c>
      <c r="B269" s="11" t="s">
        <v>57</v>
      </c>
      <c r="C269" s="11">
        <v>0.19</v>
      </c>
      <c r="D269" s="11">
        <v>0.81</v>
      </c>
    </row>
    <row r="270" spans="1:4" ht="34.5" thickBot="1">
      <c r="A270" s="17" t="s">
        <v>89</v>
      </c>
      <c r="B270" s="11" t="s">
        <v>58</v>
      </c>
      <c r="C270" s="11">
        <v>0.16</v>
      </c>
      <c r="D270" s="11">
        <v>0.84</v>
      </c>
    </row>
    <row r="271" spans="1:4" ht="45.75" thickBot="1">
      <c r="A271" s="17" t="s">
        <v>91</v>
      </c>
      <c r="B271" s="11" t="s">
        <v>59</v>
      </c>
      <c r="C271" s="11">
        <v>0.17</v>
      </c>
      <c r="D271" s="11">
        <v>0.83</v>
      </c>
    </row>
    <row r="272" spans="1:4" ht="23.25" thickBot="1">
      <c r="A272" s="17" t="s">
        <v>93</v>
      </c>
      <c r="B272" s="11" t="s">
        <v>60</v>
      </c>
      <c r="C272" s="11">
        <v>0.25</v>
      </c>
      <c r="D272" s="11">
        <v>0.75</v>
      </c>
    </row>
    <row r="273" spans="1:16" ht="23.25" thickBot="1">
      <c r="A273" s="17" t="s">
        <v>95</v>
      </c>
      <c r="B273" s="11" t="s">
        <v>61</v>
      </c>
      <c r="C273" s="11">
        <v>0.15</v>
      </c>
      <c r="D273" s="11">
        <v>0.85</v>
      </c>
    </row>
    <row r="274" spans="1:16" ht="34.5" thickBot="1">
      <c r="A274" s="17" t="s">
        <v>97</v>
      </c>
      <c r="B274" s="11"/>
      <c r="C274" s="11">
        <v>0.21</v>
      </c>
      <c r="D274" s="11">
        <v>0.79</v>
      </c>
    </row>
    <row r="275" spans="1:16">
      <c r="F275" s="136" t="s">
        <v>437</v>
      </c>
      <c r="L275" s="136" t="s">
        <v>434</v>
      </c>
    </row>
    <row r="276" spans="1:16" ht="13.5" thickBot="1">
      <c r="F276" s="136" t="s">
        <v>436</v>
      </c>
      <c r="H276">
        <v>0.06</v>
      </c>
      <c r="L276" s="136" t="s">
        <v>435</v>
      </c>
      <c r="N276">
        <v>0.06</v>
      </c>
    </row>
    <row r="277" spans="1:16" ht="13.5" thickBot="1">
      <c r="A277" s="32"/>
      <c r="F277" t="s">
        <v>183</v>
      </c>
      <c r="G277" t="s">
        <v>184</v>
      </c>
      <c r="H277" t="s">
        <v>185</v>
      </c>
      <c r="N277" t="s">
        <v>183</v>
      </c>
      <c r="O277" t="s">
        <v>184</v>
      </c>
      <c r="P277" t="s">
        <v>185</v>
      </c>
    </row>
    <row r="278" spans="1:16" ht="13.5" thickBot="1">
      <c r="A278" s="6"/>
      <c r="B278" s="33"/>
      <c r="D278" s="41" t="s">
        <v>166</v>
      </c>
      <c r="E278">
        <v>1</v>
      </c>
      <c r="F278">
        <v>0</v>
      </c>
      <c r="L278" s="41" t="s">
        <v>166</v>
      </c>
      <c r="M278">
        <v>1</v>
      </c>
      <c r="N278">
        <v>0</v>
      </c>
    </row>
    <row r="279" spans="1:16" ht="13.5" thickBot="1">
      <c r="A279" s="6"/>
      <c r="B279" s="39"/>
      <c r="D279" s="41" t="s">
        <v>167</v>
      </c>
      <c r="E279">
        <v>2</v>
      </c>
      <c r="F279">
        <f>IF('SP11-3 (1)'!B21="","no number",'SP11-3 (1)'!B21)</f>
        <v>0</v>
      </c>
      <c r="G279">
        <f>IF(F279&lt;F$278,"no number",IF(F279="no number","no number",F279-$F$278))</f>
        <v>0</v>
      </c>
      <c r="H279" s="45">
        <f>IF(G279="no number","",(1/((1+$H$276)^(G279))))</f>
        <v>1</v>
      </c>
      <c r="L279" s="41" t="s">
        <v>167</v>
      </c>
      <c r="M279">
        <v>2</v>
      </c>
      <c r="N279" t="str">
        <f>IF('SP11-2'!B22="","no number",'SP11-2'!B22)</f>
        <v>no number</v>
      </c>
      <c r="O279" t="str">
        <f>IF(N279&lt;N$278,"no number",IF(N279="no number","no number",N279-$N$278))</f>
        <v>no number</v>
      </c>
      <c r="P279" s="45" t="str">
        <f>IF(O279="no number","",(1/((1+$N$276)^(O279))))</f>
        <v/>
      </c>
    </row>
    <row r="280" spans="1:16" ht="13.5" thickBot="1">
      <c r="A280" s="6"/>
      <c r="B280" s="39"/>
      <c r="D280" s="41" t="s">
        <v>168</v>
      </c>
      <c r="E280">
        <v>3</v>
      </c>
      <c r="F280" t="str">
        <f>IF('SP11-3 (1)'!B22="","no number",'SP11-3 (1)'!B22)</f>
        <v>no number</v>
      </c>
      <c r="G280" t="str">
        <f t="shared" ref="G280:G287" si="0">IF(F280&lt;F$278,"no number",IF(F280="no number","no number",F280-$F$278))</f>
        <v>no number</v>
      </c>
      <c r="H280" s="45" t="str">
        <f t="shared" ref="H280:H287" si="1">IF(G280="no number","",(1/((1+$H$276)^(G280))))</f>
        <v/>
      </c>
      <c r="L280" s="41" t="s">
        <v>168</v>
      </c>
      <c r="M280">
        <v>3</v>
      </c>
      <c r="N280" t="str">
        <f>IF('SP11-2'!B23="","no number",'SP11-2'!B23)</f>
        <v>no number</v>
      </c>
      <c r="O280" t="str">
        <f t="shared" ref="O280:O287" si="2">IF(N280&lt;N$278,"no number",IF(N280="no number","no number",N280-$N$278))</f>
        <v>no number</v>
      </c>
      <c r="P280" s="45" t="str">
        <f t="shared" ref="P280:P287" si="3">IF(O280="no number","",(1/((1+$N$276)^(O280))))</f>
        <v/>
      </c>
    </row>
    <row r="281" spans="1:16" ht="13.5" thickBot="1">
      <c r="A281" s="6"/>
      <c r="B281" s="39"/>
      <c r="D281" s="41" t="s">
        <v>169</v>
      </c>
      <c r="E281">
        <v>4</v>
      </c>
      <c r="F281" t="str">
        <f>IF('SP11-3 (1)'!B23="","no number",'SP11-3 (1)'!B23)</f>
        <v>no number</v>
      </c>
      <c r="G281" t="str">
        <f t="shared" si="0"/>
        <v>no number</v>
      </c>
      <c r="H281" s="45" t="str">
        <f t="shared" si="1"/>
        <v/>
      </c>
      <c r="L281" s="41" t="s">
        <v>169</v>
      </c>
      <c r="M281">
        <v>4</v>
      </c>
      <c r="N281" t="str">
        <f>IF('SP11-2'!B24="","no number",'SP11-2'!B24)</f>
        <v>no number</v>
      </c>
      <c r="O281" t="str">
        <f t="shared" si="2"/>
        <v>no number</v>
      </c>
      <c r="P281" s="45" t="str">
        <f t="shared" si="3"/>
        <v/>
      </c>
    </row>
    <row r="282" spans="1:16" ht="13.5" thickBot="1">
      <c r="A282" s="6"/>
      <c r="B282" s="39"/>
      <c r="D282" s="41" t="s">
        <v>170</v>
      </c>
      <c r="E282">
        <v>5</v>
      </c>
      <c r="F282" t="str">
        <f>IF('SP11-3 (1)'!B24="","no number",'SP11-3 (1)'!B24)</f>
        <v>no number</v>
      </c>
      <c r="G282" t="str">
        <f t="shared" si="0"/>
        <v>no number</v>
      </c>
      <c r="H282" s="45" t="str">
        <f t="shared" si="1"/>
        <v/>
      </c>
      <c r="L282" s="41" t="s">
        <v>170</v>
      </c>
      <c r="M282">
        <v>5</v>
      </c>
      <c r="N282" t="str">
        <f>IF('SP11-2'!B25="","no number",'SP11-2'!B25)</f>
        <v>no number</v>
      </c>
      <c r="O282" t="str">
        <f t="shared" si="2"/>
        <v>no number</v>
      </c>
      <c r="P282" s="45" t="str">
        <f t="shared" si="3"/>
        <v/>
      </c>
    </row>
    <row r="283" spans="1:16" ht="13.5" thickBot="1">
      <c r="A283" s="6"/>
      <c r="B283" s="39"/>
      <c r="D283" s="41" t="s">
        <v>171</v>
      </c>
      <c r="E283">
        <v>6</v>
      </c>
      <c r="F283" t="str">
        <f>IF('SP11-3 (1)'!B25="","no number",'SP11-3 (1)'!B25)</f>
        <v>no number</v>
      </c>
      <c r="G283" t="str">
        <f t="shared" si="0"/>
        <v>no number</v>
      </c>
      <c r="H283" s="45" t="str">
        <f t="shared" si="1"/>
        <v/>
      </c>
      <c r="L283" s="41" t="s">
        <v>171</v>
      </c>
      <c r="M283">
        <v>6</v>
      </c>
      <c r="N283" t="str">
        <f>IF('SP11-2'!B26="","no number",'SP11-2'!B26)</f>
        <v>no number</v>
      </c>
      <c r="O283" t="str">
        <f t="shared" si="2"/>
        <v>no number</v>
      </c>
      <c r="P283" s="45" t="str">
        <f t="shared" si="3"/>
        <v/>
      </c>
    </row>
    <row r="284" spans="1:16" ht="13.5" thickBot="1">
      <c r="A284" s="6"/>
      <c r="B284" s="39"/>
      <c r="D284" s="41" t="s">
        <v>172</v>
      </c>
      <c r="E284">
        <v>7</v>
      </c>
      <c r="F284" t="str">
        <f>IF('SP11-3 (1)'!B26="","no number",'SP11-3 (1)'!B26)</f>
        <v>no number</v>
      </c>
      <c r="G284" t="str">
        <f t="shared" si="0"/>
        <v>no number</v>
      </c>
      <c r="H284" s="45" t="str">
        <f t="shared" si="1"/>
        <v/>
      </c>
      <c r="L284" s="41" t="s">
        <v>172</v>
      </c>
      <c r="M284">
        <v>7</v>
      </c>
      <c r="N284" t="str">
        <f>IF('SP11-2'!B27="","no number",'SP11-2'!B27)</f>
        <v>no number</v>
      </c>
      <c r="O284" t="str">
        <f t="shared" si="2"/>
        <v>no number</v>
      </c>
      <c r="P284" s="45" t="str">
        <f t="shared" si="3"/>
        <v/>
      </c>
    </row>
    <row r="285" spans="1:16" ht="13.5" thickBot="1">
      <c r="A285" s="6"/>
      <c r="B285" s="39"/>
      <c r="D285" s="41" t="s">
        <v>173</v>
      </c>
      <c r="E285">
        <v>8</v>
      </c>
      <c r="F285" t="str">
        <f>IF('SP11-3 (1)'!B27="","no number",'SP11-3 (1)'!B27)</f>
        <v>no number</v>
      </c>
      <c r="G285" t="str">
        <f t="shared" si="0"/>
        <v>no number</v>
      </c>
      <c r="H285" s="45" t="str">
        <f t="shared" si="1"/>
        <v/>
      </c>
      <c r="L285" s="41" t="s">
        <v>173</v>
      </c>
      <c r="M285">
        <v>8</v>
      </c>
      <c r="N285" t="str">
        <f>IF('SP11-2'!B28="","no number",'SP11-2'!B28)</f>
        <v>no number</v>
      </c>
      <c r="O285" t="str">
        <f t="shared" si="2"/>
        <v>no number</v>
      </c>
      <c r="P285" s="45" t="str">
        <f t="shared" si="3"/>
        <v/>
      </c>
    </row>
    <row r="286" spans="1:16" ht="13.5" thickBot="1">
      <c r="A286" s="6"/>
      <c r="B286" s="39"/>
      <c r="D286" s="41" t="s">
        <v>174</v>
      </c>
      <c r="E286">
        <v>9</v>
      </c>
      <c r="F286" t="str">
        <f>IF('SP11-3 (1)'!B28="","no number",'SP11-3 (1)'!B28)</f>
        <v>no number</v>
      </c>
      <c r="G286" t="str">
        <f t="shared" si="0"/>
        <v>no number</v>
      </c>
      <c r="H286" s="45" t="str">
        <f t="shared" si="1"/>
        <v/>
      </c>
      <c r="L286" s="41" t="s">
        <v>174</v>
      </c>
      <c r="M286">
        <v>9</v>
      </c>
      <c r="N286" t="str">
        <f>IF('SP11-2'!B29="","no number",'SP11-2'!B29)</f>
        <v>no number</v>
      </c>
      <c r="O286" t="str">
        <f t="shared" si="2"/>
        <v>no number</v>
      </c>
      <c r="P286" s="45" t="str">
        <f t="shared" si="3"/>
        <v/>
      </c>
    </row>
    <row r="287" spans="1:16" ht="13.5" thickBot="1">
      <c r="A287" s="6"/>
      <c r="B287" s="39"/>
      <c r="D287" s="41" t="s">
        <v>175</v>
      </c>
      <c r="E287">
        <v>10</v>
      </c>
      <c r="F287" t="str">
        <f>IF('SP11-3 (1)'!B29="","no number",'SP11-3 (1)'!B29)</f>
        <v>no number</v>
      </c>
      <c r="G287" t="str">
        <f t="shared" si="0"/>
        <v>no number</v>
      </c>
      <c r="H287" s="45" t="str">
        <f t="shared" si="1"/>
        <v/>
      </c>
      <c r="L287" s="41" t="s">
        <v>175</v>
      </c>
      <c r="M287">
        <v>10</v>
      </c>
      <c r="N287" t="str">
        <f>IF('SP11-2'!B30="","no number",'SP11-2'!B30)</f>
        <v>no number</v>
      </c>
      <c r="O287" t="str">
        <f t="shared" si="2"/>
        <v>no number</v>
      </c>
      <c r="P287" s="45" t="str">
        <f t="shared" si="3"/>
        <v/>
      </c>
    </row>
    <row r="288" spans="1:16" ht="13.5" thickBot="1">
      <c r="A288" s="6"/>
      <c r="B288" s="39"/>
      <c r="D288" s="41" t="s">
        <v>176</v>
      </c>
      <c r="E288">
        <v>11</v>
      </c>
      <c r="L288" s="41" t="s">
        <v>176</v>
      </c>
      <c r="M288">
        <v>11</v>
      </c>
    </row>
    <row r="289" spans="1:15" ht="13.5" thickBot="1">
      <c r="A289" s="6"/>
      <c r="B289" s="39"/>
      <c r="D289" s="41" t="s">
        <v>177</v>
      </c>
      <c r="E289">
        <v>12</v>
      </c>
      <c r="L289" s="41" t="s">
        <v>177</v>
      </c>
      <c r="M289">
        <v>12</v>
      </c>
    </row>
    <row r="290" spans="1:15" ht="13.5" thickBot="1">
      <c r="A290" s="6"/>
      <c r="B290" s="39"/>
      <c r="D290" s="41" t="s">
        <v>178</v>
      </c>
      <c r="E290">
        <v>13</v>
      </c>
      <c r="L290" s="41" t="s">
        <v>178</v>
      </c>
      <c r="M290">
        <v>13</v>
      </c>
    </row>
    <row r="291" spans="1:15" ht="13.5" thickBot="1">
      <c r="A291" s="7"/>
      <c r="B291" s="39"/>
      <c r="D291" s="41" t="s">
        <v>179</v>
      </c>
      <c r="E291">
        <v>14</v>
      </c>
      <c r="F291">
        <v>0</v>
      </c>
      <c r="L291" s="41" t="s">
        <v>179</v>
      </c>
      <c r="M291">
        <v>14</v>
      </c>
    </row>
    <row r="292" spans="1:15" ht="13.5" thickBot="1">
      <c r="A292" s="7"/>
      <c r="B292" s="39"/>
      <c r="D292" s="41" t="s">
        <v>180</v>
      </c>
      <c r="E292">
        <v>15</v>
      </c>
      <c r="F292">
        <f>IF('SP11-3 (2)'!B21="","no number",'SP11-3 (2)'!B21)</f>
        <v>10</v>
      </c>
      <c r="G292">
        <f>IF(F292&lt;F$278,"no number",IF(F292="no number","no number",F292-$F$278))</f>
        <v>10</v>
      </c>
      <c r="H292" s="45">
        <f>IF(G292="no number","",(1/((1+$H$276)^(G292))))</f>
        <v>0.55839477691511785</v>
      </c>
      <c r="L292" s="41" t="s">
        <v>180</v>
      </c>
      <c r="M292">
        <v>15</v>
      </c>
      <c r="N292" t="s">
        <v>186</v>
      </c>
      <c r="O292" t="s">
        <v>186</v>
      </c>
    </row>
    <row r="293" spans="1:15" ht="13.5" thickBot="1">
      <c r="A293" s="7"/>
      <c r="B293" s="39"/>
      <c r="D293" s="41" t="s">
        <v>181</v>
      </c>
      <c r="E293">
        <v>16</v>
      </c>
      <c r="F293">
        <f>IF('SP11-3 (2)'!B22="","no number",'SP11-3 (2)'!B22)</f>
        <v>20</v>
      </c>
      <c r="G293">
        <f t="shared" ref="G293:G300" si="4">IF(F293&lt;F$278,"no number",IF(F293="no number","no number",F293-$F$278))</f>
        <v>20</v>
      </c>
      <c r="H293" s="45">
        <f t="shared" ref="H293:H300" si="5">IF(G293="no number","",(1/((1+$H$276)^(G293))))</f>
        <v>0.31180472688608429</v>
      </c>
      <c r="L293" s="41" t="s">
        <v>181</v>
      </c>
      <c r="M293">
        <v>16</v>
      </c>
    </row>
    <row r="294" spans="1:15" ht="13.5" thickBot="1">
      <c r="A294" s="7"/>
      <c r="B294" s="39"/>
      <c r="D294" s="41" t="s">
        <v>182</v>
      </c>
      <c r="E294">
        <v>17</v>
      </c>
      <c r="F294">
        <f>IF('SP11-3 (2)'!B23="","no number",'SP11-3 (2)'!B23)</f>
        <v>30</v>
      </c>
      <c r="G294">
        <f t="shared" si="4"/>
        <v>30</v>
      </c>
      <c r="H294" s="45">
        <f t="shared" si="5"/>
        <v>0.17411013091063426</v>
      </c>
      <c r="L294" s="41" t="s">
        <v>182</v>
      </c>
      <c r="M294">
        <v>17</v>
      </c>
    </row>
    <row r="295" spans="1:15" ht="13.5" thickBot="1">
      <c r="A295" s="7"/>
      <c r="B295" s="39"/>
      <c r="D295" s="41" t="s">
        <v>244</v>
      </c>
      <c r="E295">
        <v>18</v>
      </c>
      <c r="F295">
        <f>IF('SP11-3 (2)'!B24="","no number",'SP11-3 (2)'!B24)</f>
        <v>40</v>
      </c>
      <c r="G295">
        <f t="shared" si="4"/>
        <v>40</v>
      </c>
      <c r="H295" s="45">
        <f t="shared" si="5"/>
        <v>9.7222187708505589E-2</v>
      </c>
      <c r="L295" s="41" t="s">
        <v>244</v>
      </c>
      <c r="M295">
        <v>18</v>
      </c>
    </row>
    <row r="296" spans="1:15" ht="13.5" thickBot="1">
      <c r="A296" s="7"/>
      <c r="B296" s="39"/>
      <c r="D296" s="41" t="s">
        <v>245</v>
      </c>
      <c r="E296">
        <v>19</v>
      </c>
      <c r="F296" t="str">
        <f>IF('SP11-3 (2)'!B25="","no number",'SP11-3 (2)'!B25)</f>
        <v>no number</v>
      </c>
      <c r="G296" t="str">
        <f t="shared" si="4"/>
        <v>no number</v>
      </c>
      <c r="H296" s="45" t="str">
        <f t="shared" si="5"/>
        <v/>
      </c>
      <c r="L296" s="41" t="s">
        <v>245</v>
      </c>
      <c r="M296">
        <v>19</v>
      </c>
    </row>
    <row r="297" spans="1:15" ht="13.5" thickBot="1">
      <c r="A297" s="7"/>
      <c r="B297" s="39"/>
      <c r="D297" s="41" t="s">
        <v>246</v>
      </c>
      <c r="E297">
        <v>20</v>
      </c>
      <c r="F297" t="str">
        <f>IF('SP11-3 (2)'!B26="","no number",'SP11-3 (2)'!B26)</f>
        <v>no number</v>
      </c>
      <c r="G297" t="str">
        <f t="shared" si="4"/>
        <v>no number</v>
      </c>
      <c r="H297" s="45" t="str">
        <f t="shared" si="5"/>
        <v/>
      </c>
      <c r="L297" s="41" t="s">
        <v>246</v>
      </c>
      <c r="M297">
        <v>20</v>
      </c>
    </row>
    <row r="298" spans="1:15" ht="13.5" thickBot="1">
      <c r="A298" s="7"/>
      <c r="B298" s="39"/>
      <c r="D298" s="41" t="s">
        <v>247</v>
      </c>
      <c r="E298">
        <v>21</v>
      </c>
      <c r="F298" t="str">
        <f>IF('SP11-3 (2)'!B27="","no number",'SP11-3 (2)'!B27)</f>
        <v>no number</v>
      </c>
      <c r="G298" t="str">
        <f t="shared" si="4"/>
        <v>no number</v>
      </c>
      <c r="H298" s="45" t="str">
        <f t="shared" si="5"/>
        <v/>
      </c>
      <c r="L298" s="41" t="s">
        <v>247</v>
      </c>
      <c r="M298">
        <v>21</v>
      </c>
    </row>
    <row r="299" spans="1:15" ht="13.5" thickBot="1">
      <c r="A299" s="7"/>
      <c r="B299" s="39"/>
      <c r="D299" s="41" t="s">
        <v>248</v>
      </c>
      <c r="E299">
        <v>22</v>
      </c>
      <c r="F299" t="str">
        <f>IF('SP11-3 (2)'!B28="","no number",'SP11-3 (2)'!B28)</f>
        <v>no number</v>
      </c>
      <c r="G299" t="str">
        <f t="shared" si="4"/>
        <v>no number</v>
      </c>
      <c r="H299" s="45" t="str">
        <f t="shared" si="5"/>
        <v/>
      </c>
      <c r="L299" s="41" t="s">
        <v>248</v>
      </c>
      <c r="M299">
        <v>22</v>
      </c>
    </row>
    <row r="300" spans="1:15" ht="13.5" thickBot="1">
      <c r="A300" s="7"/>
      <c r="B300" s="39"/>
      <c r="D300" s="41" t="s">
        <v>249</v>
      </c>
      <c r="E300">
        <v>23</v>
      </c>
      <c r="F300" t="str">
        <f>IF('SP11-3 (2)'!B29="","no number",'SP11-3 (2)'!B29)</f>
        <v>no number</v>
      </c>
      <c r="G300" t="str">
        <f t="shared" si="4"/>
        <v>no number</v>
      </c>
      <c r="H300" s="45" t="str">
        <f t="shared" si="5"/>
        <v/>
      </c>
      <c r="L300" s="41" t="s">
        <v>249</v>
      </c>
      <c r="M300">
        <v>23</v>
      </c>
    </row>
    <row r="301" spans="1:15" ht="13.5" thickBot="1">
      <c r="A301" s="7"/>
      <c r="B301" s="39"/>
      <c r="D301" s="41" t="s">
        <v>250</v>
      </c>
      <c r="E301">
        <v>24</v>
      </c>
      <c r="L301" s="41" t="s">
        <v>250</v>
      </c>
      <c r="M301">
        <v>24</v>
      </c>
    </row>
    <row r="302" spans="1:15" ht="13.5" thickBot="1">
      <c r="A302" s="7"/>
      <c r="B302" s="39"/>
      <c r="D302" s="41" t="s">
        <v>251</v>
      </c>
      <c r="E302">
        <v>25</v>
      </c>
      <c r="L302" s="41" t="s">
        <v>251</v>
      </c>
      <c r="M302">
        <v>25</v>
      </c>
    </row>
    <row r="303" spans="1:15">
      <c r="B303" s="39"/>
      <c r="D303" s="41" t="s">
        <v>252</v>
      </c>
      <c r="E303">
        <v>26</v>
      </c>
      <c r="F303">
        <v>0</v>
      </c>
      <c r="L303" s="41" t="s">
        <v>252</v>
      </c>
      <c r="M303">
        <v>26</v>
      </c>
    </row>
    <row r="304" spans="1:15">
      <c r="D304" s="41" t="s">
        <v>253</v>
      </c>
      <c r="E304">
        <v>27</v>
      </c>
      <c r="F304" t="str">
        <f>IF('SP11-3 (3)'!B21="","no number",'SP11-3 (3)'!B21)</f>
        <v>no number</v>
      </c>
      <c r="G304" t="str">
        <f>IF(F304&lt;F$278,"no number",IF(F304="no number","no number",F304-$F$278))</f>
        <v>no number</v>
      </c>
      <c r="H304" s="45" t="str">
        <f>IF(G304="no number","",(1/((1+$H$276)^(G304))))</f>
        <v/>
      </c>
      <c r="L304" s="41" t="s">
        <v>253</v>
      </c>
      <c r="M304">
        <v>27</v>
      </c>
    </row>
    <row r="305" spans="1:13">
      <c r="D305" s="41" t="s">
        <v>254</v>
      </c>
      <c r="E305">
        <v>28</v>
      </c>
      <c r="F305" t="str">
        <f>IF('SP11-3 (3)'!B22="","no number",'SP11-3 (3)'!B22)</f>
        <v>no number</v>
      </c>
      <c r="G305" t="str">
        <f t="shared" ref="G305:G312" si="6">IF(F305&lt;F$278,"no number",IF(F305="no number","no number",F305-$F$278))</f>
        <v>no number</v>
      </c>
      <c r="H305" s="45" t="str">
        <f t="shared" ref="H305:H312" si="7">IF(G305="no number","",(1/((1+$H$276)^(G305))))</f>
        <v/>
      </c>
      <c r="L305" s="41" t="s">
        <v>254</v>
      </c>
      <c r="M305">
        <v>28</v>
      </c>
    </row>
    <row r="306" spans="1:13">
      <c r="D306" s="41" t="s">
        <v>255</v>
      </c>
      <c r="E306">
        <v>29</v>
      </c>
      <c r="F306" t="str">
        <f>IF('SP11-3 (3)'!B23="","no number",'SP11-3 (3)'!B23)</f>
        <v>no number</v>
      </c>
      <c r="G306" t="str">
        <f t="shared" si="6"/>
        <v>no number</v>
      </c>
      <c r="H306" s="45" t="str">
        <f t="shared" si="7"/>
        <v/>
      </c>
      <c r="L306" s="41" t="s">
        <v>255</v>
      </c>
      <c r="M306">
        <v>29</v>
      </c>
    </row>
    <row r="307" spans="1:13">
      <c r="D307" s="41" t="s">
        <v>256</v>
      </c>
      <c r="E307">
        <v>30</v>
      </c>
      <c r="F307" t="str">
        <f>IF('SP11-3 (3)'!B24="","no number",'SP11-3 (3)'!B24)</f>
        <v>no number</v>
      </c>
      <c r="G307" t="str">
        <f t="shared" si="6"/>
        <v>no number</v>
      </c>
      <c r="H307" s="45" t="str">
        <f t="shared" si="7"/>
        <v/>
      </c>
      <c r="L307" s="41" t="s">
        <v>256</v>
      </c>
      <c r="M307">
        <v>30</v>
      </c>
    </row>
    <row r="308" spans="1:13">
      <c r="D308" s="41" t="s">
        <v>257</v>
      </c>
      <c r="E308">
        <v>31</v>
      </c>
      <c r="F308" t="str">
        <f>IF('SP11-3 (3)'!B25="","no number",'SP11-3 (3)'!B25)</f>
        <v>no number</v>
      </c>
      <c r="G308" t="str">
        <f t="shared" si="6"/>
        <v>no number</v>
      </c>
      <c r="H308" s="45" t="str">
        <f t="shared" si="7"/>
        <v/>
      </c>
      <c r="L308" s="41" t="s">
        <v>257</v>
      </c>
      <c r="M308">
        <v>31</v>
      </c>
    </row>
    <row r="309" spans="1:13">
      <c r="D309" s="41" t="s">
        <v>415</v>
      </c>
      <c r="E309">
        <v>32</v>
      </c>
      <c r="F309" t="str">
        <f>IF('SP11-3 (3)'!B26="","no number",'SP11-3 (3)'!B26)</f>
        <v>no number</v>
      </c>
      <c r="G309" t="str">
        <f t="shared" si="6"/>
        <v>no number</v>
      </c>
      <c r="H309" s="45" t="str">
        <f t="shared" si="7"/>
        <v/>
      </c>
      <c r="L309" s="41" t="s">
        <v>415</v>
      </c>
      <c r="M309">
        <v>32</v>
      </c>
    </row>
    <row r="310" spans="1:13" ht="13.5" thickBot="1">
      <c r="D310" s="41" t="s">
        <v>416</v>
      </c>
      <c r="E310">
        <v>33</v>
      </c>
      <c r="F310" t="str">
        <f>IF('SP11-3 (3)'!B27="","no number",'SP11-3 (3)'!B27)</f>
        <v>no number</v>
      </c>
      <c r="G310" t="str">
        <f t="shared" si="6"/>
        <v>no number</v>
      </c>
      <c r="H310" s="45" t="str">
        <f t="shared" si="7"/>
        <v/>
      </c>
      <c r="L310" s="41" t="s">
        <v>416</v>
      </c>
      <c r="M310">
        <v>33</v>
      </c>
    </row>
    <row r="311" spans="1:13" ht="13.5" thickBot="1">
      <c r="A311" s="32"/>
      <c r="D311" s="41" t="s">
        <v>417</v>
      </c>
      <c r="E311">
        <v>34</v>
      </c>
      <c r="F311" t="str">
        <f>IF('SP11-3 (3)'!B28="","no number",'SP11-3 (3)'!B28)</f>
        <v>no number</v>
      </c>
      <c r="G311" t="str">
        <f t="shared" si="6"/>
        <v>no number</v>
      </c>
      <c r="H311" s="45" t="str">
        <f t="shared" si="7"/>
        <v/>
      </c>
      <c r="L311" s="41" t="s">
        <v>417</v>
      </c>
      <c r="M311">
        <v>34</v>
      </c>
    </row>
    <row r="312" spans="1:13" ht="13.5" thickBot="1">
      <c r="A312" s="6"/>
      <c r="B312" s="33"/>
      <c r="D312" s="41" t="s">
        <v>418</v>
      </c>
      <c r="E312">
        <v>35</v>
      </c>
      <c r="F312" t="str">
        <f>IF('SP11-3 (3)'!B29="","no number",'SP11-3 (3)'!B29)</f>
        <v>no number</v>
      </c>
      <c r="G312" t="str">
        <f t="shared" si="6"/>
        <v>no number</v>
      </c>
      <c r="H312" s="45" t="str">
        <f t="shared" si="7"/>
        <v/>
      </c>
      <c r="L312" s="41" t="s">
        <v>418</v>
      </c>
      <c r="M312">
        <v>35</v>
      </c>
    </row>
    <row r="313" spans="1:13" ht="13.5" thickBot="1">
      <c r="A313" s="6"/>
      <c r="B313" s="39"/>
      <c r="D313" s="41" t="s">
        <v>419</v>
      </c>
      <c r="E313">
        <v>36</v>
      </c>
      <c r="L313" s="41" t="s">
        <v>419</v>
      </c>
      <c r="M313">
        <v>36</v>
      </c>
    </row>
    <row r="314" spans="1:13" ht="13.5" thickBot="1">
      <c r="A314" s="6"/>
      <c r="B314" s="39"/>
      <c r="D314" s="41" t="s">
        <v>420</v>
      </c>
      <c r="E314">
        <v>37</v>
      </c>
      <c r="L314" s="41" t="s">
        <v>420</v>
      </c>
      <c r="M314">
        <v>37</v>
      </c>
    </row>
    <row r="315" spans="1:13" ht="13.5" thickBot="1">
      <c r="A315" s="6"/>
      <c r="B315" s="39"/>
      <c r="D315" s="41" t="s">
        <v>421</v>
      </c>
      <c r="E315">
        <v>38</v>
      </c>
      <c r="L315" s="41" t="s">
        <v>421</v>
      </c>
      <c r="M315">
        <v>38</v>
      </c>
    </row>
    <row r="316" spans="1:13" ht="13.5" thickBot="1">
      <c r="A316" s="6"/>
      <c r="B316" s="39"/>
      <c r="D316" s="41" t="s">
        <v>422</v>
      </c>
      <c r="E316">
        <v>39</v>
      </c>
      <c r="L316" s="41" t="s">
        <v>422</v>
      </c>
      <c r="M316">
        <v>39</v>
      </c>
    </row>
    <row r="317" spans="1:13" ht="13.5" thickBot="1">
      <c r="A317" s="6"/>
      <c r="B317" s="39"/>
      <c r="D317" s="41" t="s">
        <v>423</v>
      </c>
      <c r="E317">
        <v>40</v>
      </c>
      <c r="L317" s="41" t="s">
        <v>423</v>
      </c>
      <c r="M317">
        <v>40</v>
      </c>
    </row>
    <row r="318" spans="1:13" ht="13.5" thickBot="1">
      <c r="A318" s="6"/>
      <c r="B318" s="39"/>
      <c r="D318" s="41" t="s">
        <v>424</v>
      </c>
      <c r="E318">
        <v>41</v>
      </c>
      <c r="L318" s="41" t="s">
        <v>424</v>
      </c>
      <c r="M318">
        <v>41</v>
      </c>
    </row>
    <row r="319" spans="1:13" ht="13.5" thickBot="1">
      <c r="A319" s="6"/>
      <c r="B319" s="39"/>
      <c r="D319" s="41" t="s">
        <v>425</v>
      </c>
      <c r="E319">
        <v>42</v>
      </c>
      <c r="L319" s="41" t="s">
        <v>425</v>
      </c>
      <c r="M319">
        <v>42</v>
      </c>
    </row>
    <row r="320" spans="1:13" ht="13.5" thickBot="1">
      <c r="A320" s="6"/>
      <c r="B320" s="39"/>
      <c r="D320" s="41" t="s">
        <v>426</v>
      </c>
      <c r="E320">
        <v>43</v>
      </c>
      <c r="L320" s="41" t="s">
        <v>426</v>
      </c>
      <c r="M320">
        <v>43</v>
      </c>
    </row>
    <row r="321" spans="1:13" ht="13.5" thickBot="1">
      <c r="A321" s="6"/>
      <c r="B321" s="39"/>
      <c r="D321" s="41" t="s">
        <v>427</v>
      </c>
      <c r="E321">
        <v>44</v>
      </c>
      <c r="L321" s="41" t="s">
        <v>427</v>
      </c>
      <c r="M321">
        <v>44</v>
      </c>
    </row>
    <row r="322" spans="1:13" ht="13.5" thickBot="1">
      <c r="A322" s="6"/>
      <c r="B322" s="39"/>
      <c r="D322" s="41" t="s">
        <v>428</v>
      </c>
      <c r="E322">
        <v>45</v>
      </c>
      <c r="L322" s="41" t="s">
        <v>428</v>
      </c>
      <c r="M322">
        <v>45</v>
      </c>
    </row>
    <row r="323" spans="1:13" ht="13.5" thickBot="1">
      <c r="A323" s="6"/>
      <c r="B323" s="39"/>
      <c r="D323" s="41" t="s">
        <v>429</v>
      </c>
      <c r="E323">
        <v>46</v>
      </c>
      <c r="L323" s="41" t="s">
        <v>429</v>
      </c>
      <c r="M323">
        <v>46</v>
      </c>
    </row>
    <row r="324" spans="1:13" ht="13.5" thickBot="1">
      <c r="A324" s="6"/>
      <c r="B324" s="39"/>
      <c r="D324" s="41" t="s">
        <v>430</v>
      </c>
      <c r="E324">
        <v>47</v>
      </c>
      <c r="L324" s="41" t="s">
        <v>430</v>
      </c>
      <c r="M324">
        <v>47</v>
      </c>
    </row>
    <row r="325" spans="1:13" ht="13.5" thickBot="1">
      <c r="A325" s="7"/>
      <c r="B325" s="39"/>
      <c r="D325" s="41" t="s">
        <v>431</v>
      </c>
      <c r="E325">
        <v>48</v>
      </c>
      <c r="L325" s="41" t="s">
        <v>431</v>
      </c>
      <c r="M325">
        <v>48</v>
      </c>
    </row>
    <row r="326" spans="1:13" ht="13.5" thickBot="1">
      <c r="A326" s="7"/>
      <c r="B326" s="39"/>
      <c r="D326" s="41" t="s">
        <v>432</v>
      </c>
      <c r="E326">
        <v>49</v>
      </c>
      <c r="L326" s="41" t="s">
        <v>432</v>
      </c>
      <c r="M326">
        <v>49</v>
      </c>
    </row>
    <row r="327" spans="1:13" ht="13.5" thickBot="1">
      <c r="A327" s="7"/>
      <c r="B327" s="39"/>
      <c r="D327" s="41" t="s">
        <v>433</v>
      </c>
      <c r="E327">
        <v>50</v>
      </c>
      <c r="L327" s="41" t="s">
        <v>433</v>
      </c>
      <c r="M327">
        <v>50</v>
      </c>
    </row>
    <row r="328" spans="1:13" ht="13.5" thickBot="1">
      <c r="A328" s="7"/>
      <c r="B328" s="39"/>
      <c r="L328" s="41"/>
    </row>
    <row r="329" spans="1:13" ht="13.5" thickBot="1">
      <c r="A329" s="7"/>
      <c r="B329" s="39"/>
      <c r="L329" s="41"/>
    </row>
    <row r="330" spans="1:13" ht="13.5" thickBot="1">
      <c r="A330" s="7"/>
      <c r="B330" s="39"/>
    </row>
    <row r="331" spans="1:13" ht="13.5" thickBot="1">
      <c r="A331" s="7"/>
      <c r="B331" s="39"/>
    </row>
    <row r="332" spans="1:13" ht="13.5" thickBot="1">
      <c r="A332" s="7"/>
      <c r="B332" s="39"/>
    </row>
    <row r="333" spans="1:13" ht="13.5" thickBot="1">
      <c r="A333" s="7"/>
      <c r="B333" s="39"/>
    </row>
    <row r="334" spans="1:13" ht="13.5" thickBot="1">
      <c r="A334" s="7"/>
      <c r="B334" s="39"/>
    </row>
    <row r="335" spans="1:13" ht="13.5" thickBot="1">
      <c r="A335" s="7"/>
      <c r="B335" s="39"/>
    </row>
    <row r="336" spans="1:13" ht="13.5" thickBot="1">
      <c r="A336" s="7"/>
      <c r="B336" s="39"/>
    </row>
    <row r="337" spans="2:2">
      <c r="B337" s="39"/>
    </row>
  </sheetData>
  <sheetProtection selectLockedCells="1"/>
  <mergeCells count="38">
    <mergeCell ref="B2:L2"/>
    <mergeCell ref="A66:A67"/>
    <mergeCell ref="C66:C67"/>
    <mergeCell ref="D66:D67"/>
    <mergeCell ref="A68:A69"/>
    <mergeCell ref="C68:C69"/>
    <mergeCell ref="D68:D69"/>
    <mergeCell ref="A49:A50"/>
    <mergeCell ref="B49:B50"/>
    <mergeCell ref="A14:A15"/>
    <mergeCell ref="A98:B98"/>
    <mergeCell ref="C98:H98"/>
    <mergeCell ref="C81:C82"/>
    <mergeCell ref="D81:D82"/>
    <mergeCell ref="B14:B15"/>
    <mergeCell ref="A31:A32"/>
    <mergeCell ref="B31:B32"/>
    <mergeCell ref="A70:A71"/>
    <mergeCell ref="C70:C71"/>
    <mergeCell ref="D70:D71"/>
    <mergeCell ref="A80:B80"/>
    <mergeCell ref="C80:H80"/>
    <mergeCell ref="E81:E82"/>
    <mergeCell ref="F81:F82"/>
    <mergeCell ref="H81:H82"/>
    <mergeCell ref="A204:B204"/>
    <mergeCell ref="C204:H204"/>
    <mergeCell ref="A134:B134"/>
    <mergeCell ref="C134:H134"/>
    <mergeCell ref="A152:B152"/>
    <mergeCell ref="C152:H152"/>
    <mergeCell ref="A169:B169"/>
    <mergeCell ref="C169:H169"/>
    <mergeCell ref="A116:B116"/>
    <mergeCell ref="A187:B187"/>
    <mergeCell ref="C187:H187"/>
    <mergeCell ref="A117:B117"/>
    <mergeCell ref="C116:H117"/>
  </mergeCells>
  <phoneticPr fontId="8"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C12" sqref="C12"/>
    </sheetView>
  </sheetViews>
  <sheetFormatPr defaultRowHeight="12.75"/>
  <cols>
    <col min="1" max="1" width="57.5703125" customWidth="1"/>
    <col min="2" max="3" width="15.140625" customWidth="1"/>
  </cols>
  <sheetData>
    <row r="1" spans="1:2" ht="19.5" thickBot="1">
      <c r="A1" s="282" t="s">
        <v>652</v>
      </c>
      <c r="B1" s="250" t="s">
        <v>653</v>
      </c>
    </row>
    <row r="2" spans="1:2" ht="15">
      <c r="A2" s="242" t="s">
        <v>654</v>
      </c>
      <c r="B2" s="247">
        <f>SUM(B3)</f>
        <v>294840</v>
      </c>
    </row>
    <row r="3" spans="1:2">
      <c r="A3" s="240" t="s">
        <v>655</v>
      </c>
      <c r="B3" s="241">
        <v>294840</v>
      </c>
    </row>
    <row r="4" spans="1:2" ht="15">
      <c r="A4" s="242" t="s">
        <v>656</v>
      </c>
      <c r="B4" s="247">
        <f>SUM(B5:B7)</f>
        <v>177900</v>
      </c>
    </row>
    <row r="5" spans="1:2">
      <c r="A5" s="240" t="s">
        <v>657</v>
      </c>
      <c r="B5" s="241">
        <v>175000</v>
      </c>
    </row>
    <row r="6" spans="1:2" ht="25.5">
      <c r="A6" s="283" t="s">
        <v>685</v>
      </c>
      <c r="B6" s="241">
        <v>700</v>
      </c>
    </row>
    <row r="7" spans="1:2">
      <c r="A7" s="240" t="s">
        <v>658</v>
      </c>
      <c r="B7" s="241">
        <v>2200</v>
      </c>
    </row>
    <row r="8" spans="1:2" ht="15">
      <c r="A8" s="243" t="s">
        <v>659</v>
      </c>
      <c r="B8" s="247">
        <f>SUM(B9)</f>
        <v>3000</v>
      </c>
    </row>
    <row r="9" spans="1:2">
      <c r="A9" s="244" t="s">
        <v>660</v>
      </c>
      <c r="B9" s="241">
        <v>3000</v>
      </c>
    </row>
    <row r="10" spans="1:2" ht="15">
      <c r="A10" s="243" t="s">
        <v>661</v>
      </c>
      <c r="B10" s="247">
        <f>SUM(B11:B11)</f>
        <v>14000</v>
      </c>
    </row>
    <row r="11" spans="1:2">
      <c r="A11" s="244" t="s">
        <v>662</v>
      </c>
      <c r="B11" s="241">
        <v>14000</v>
      </c>
    </row>
    <row r="12" spans="1:2" ht="19.5" thickBot="1">
      <c r="A12" s="245" t="s">
        <v>663</v>
      </c>
      <c r="B12" s="248">
        <f>SUM(B2,B4,B8,B10)</f>
        <v>489740</v>
      </c>
    </row>
    <row r="13" spans="1:2" ht="15">
      <c r="A13" s="239" t="s">
        <v>664</v>
      </c>
      <c r="B13" s="247">
        <f>SUM(B14:B16)</f>
        <v>35000</v>
      </c>
    </row>
    <row r="14" spans="1:2">
      <c r="A14" s="240" t="s">
        <v>665</v>
      </c>
      <c r="B14" s="241">
        <v>25000</v>
      </c>
    </row>
    <row r="15" spans="1:2">
      <c r="A15" s="240" t="s">
        <v>666</v>
      </c>
      <c r="B15" s="241">
        <v>5000</v>
      </c>
    </row>
    <row r="16" spans="1:2">
      <c r="A16" s="249" t="s">
        <v>667</v>
      </c>
      <c r="B16" s="241">
        <v>5000</v>
      </c>
    </row>
    <row r="17" spans="1:3" ht="19.5" thickBot="1">
      <c r="A17" s="245" t="s">
        <v>668</v>
      </c>
      <c r="B17" s="248">
        <f>SUM(B2,B4,B8,B10,B13)</f>
        <v>524740</v>
      </c>
    </row>
    <row r="18" spans="1:3" ht="15">
      <c r="B18" s="238"/>
    </row>
    <row r="19" spans="1:3" ht="15">
      <c r="A19" s="246" t="s">
        <v>669</v>
      </c>
      <c r="B19" s="238"/>
    </row>
    <row r="27" spans="1:3" ht="13.5" thickBot="1"/>
    <row r="28" spans="1:3" ht="19.5" thickBot="1">
      <c r="A28" s="282" t="s">
        <v>683</v>
      </c>
    </row>
    <row r="29" spans="1:3" ht="30">
      <c r="A29" s="251" t="s">
        <v>654</v>
      </c>
      <c r="B29" s="252" t="s">
        <v>670</v>
      </c>
      <c r="C29" s="253" t="s">
        <v>652</v>
      </c>
    </row>
    <row r="30" spans="1:3" ht="15">
      <c r="A30" s="254" t="s">
        <v>671</v>
      </c>
      <c r="B30" s="255"/>
      <c r="C30" s="256">
        <v>294840</v>
      </c>
    </row>
    <row r="31" spans="1:3" ht="25.5">
      <c r="A31" s="284" t="s">
        <v>686</v>
      </c>
      <c r="B31" s="257">
        <v>287700</v>
      </c>
      <c r="C31" s="258"/>
    </row>
    <row r="32" spans="1:3" ht="55.5">
      <c r="A32" s="259" t="s">
        <v>672</v>
      </c>
      <c r="B32" s="260">
        <v>191000</v>
      </c>
      <c r="C32" s="261"/>
    </row>
    <row r="33" spans="1:3" ht="15">
      <c r="A33" s="262" t="s">
        <v>656</v>
      </c>
      <c r="B33" s="255"/>
      <c r="C33" s="258"/>
    </row>
    <row r="34" spans="1:3" ht="15">
      <c r="A34" s="254" t="s">
        <v>657</v>
      </c>
      <c r="B34" s="255"/>
      <c r="C34" s="263">
        <v>175000</v>
      </c>
    </row>
    <row r="35" spans="1:3" ht="15">
      <c r="A35" s="254" t="s">
        <v>673</v>
      </c>
      <c r="B35" s="255"/>
      <c r="C35" s="263">
        <v>700</v>
      </c>
    </row>
    <row r="36" spans="1:3">
      <c r="A36" s="254" t="s">
        <v>674</v>
      </c>
      <c r="B36" s="487"/>
      <c r="C36" s="488">
        <v>2200</v>
      </c>
    </row>
    <row r="37" spans="1:3">
      <c r="A37" s="254" t="s">
        <v>675</v>
      </c>
      <c r="B37" s="487"/>
      <c r="C37" s="488"/>
    </row>
    <row r="38" spans="1:3" ht="15">
      <c r="A38" s="259"/>
      <c r="B38" s="264"/>
      <c r="C38" s="265"/>
    </row>
    <row r="39" spans="1:3" ht="15">
      <c r="A39" s="254" t="s">
        <v>676</v>
      </c>
      <c r="B39" s="255"/>
      <c r="C39" s="263">
        <v>25000</v>
      </c>
    </row>
    <row r="40" spans="1:3" ht="15">
      <c r="A40" s="254" t="s">
        <v>677</v>
      </c>
      <c r="B40" s="255"/>
      <c r="C40" s="258">
        <v>5000</v>
      </c>
    </row>
    <row r="41" spans="1:3" ht="15">
      <c r="A41" s="259"/>
      <c r="B41" s="266"/>
      <c r="C41" s="267"/>
    </row>
    <row r="42" spans="1:3" ht="15">
      <c r="A42" s="268" t="s">
        <v>114</v>
      </c>
      <c r="B42" s="269"/>
      <c r="C42" s="256"/>
    </row>
    <row r="43" spans="1:3" ht="15">
      <c r="A43" s="270" t="s">
        <v>660</v>
      </c>
      <c r="B43" s="269"/>
      <c r="C43" s="256">
        <v>3000</v>
      </c>
    </row>
    <row r="44" spans="1:3" ht="15">
      <c r="A44" s="270" t="s">
        <v>678</v>
      </c>
      <c r="B44" s="269"/>
      <c r="C44" s="256">
        <v>14000</v>
      </c>
    </row>
    <row r="45" spans="1:3" ht="15">
      <c r="A45" s="270" t="s">
        <v>679</v>
      </c>
      <c r="B45" s="269"/>
      <c r="C45" s="271">
        <f>SUM(C34:C44)</f>
        <v>224900</v>
      </c>
    </row>
    <row r="46" spans="1:3" ht="15">
      <c r="A46" s="270"/>
      <c r="B46" s="269"/>
      <c r="C46" s="256"/>
    </row>
    <row r="47" spans="1:3" ht="15.75" thickBot="1">
      <c r="A47" s="272" t="s">
        <v>680</v>
      </c>
      <c r="B47" s="273"/>
      <c r="C47" s="274">
        <f>SUM(C30:C44)</f>
        <v>519740</v>
      </c>
    </row>
    <row r="48" spans="1:3" ht="15">
      <c r="A48" s="275" t="s">
        <v>681</v>
      </c>
      <c r="B48" s="276">
        <f>SUM(B31+C45)</f>
        <v>512600</v>
      </c>
      <c r="C48" s="277"/>
    </row>
    <row r="49" spans="1:3" ht="15.75" thickBot="1">
      <c r="A49" s="278" t="s">
        <v>682</v>
      </c>
      <c r="B49" s="279">
        <f>SUM(B32+C45)</f>
        <v>415900</v>
      </c>
      <c r="C49" s="280"/>
    </row>
    <row r="50" spans="1:3" ht="15">
      <c r="B50" s="281"/>
      <c r="C50" s="238"/>
    </row>
    <row r="51" spans="1:3">
      <c r="A51" s="489" t="s">
        <v>669</v>
      </c>
      <c r="B51" s="489"/>
      <c r="C51" s="489"/>
    </row>
  </sheetData>
  <mergeCells count="3">
    <mergeCell ref="B36:B37"/>
    <mergeCell ref="C36:C37"/>
    <mergeCell ref="A51:C51"/>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105"/>
  <sheetViews>
    <sheetView zoomScaleNormal="100" workbookViewId="0">
      <selection activeCell="C7" sqref="C7:N7"/>
    </sheetView>
  </sheetViews>
  <sheetFormatPr defaultColWidth="8.85546875" defaultRowHeight="12.75"/>
  <cols>
    <col min="1" max="1" width="4.140625" style="2" customWidth="1"/>
    <col min="2" max="2" width="12" style="1" customWidth="1"/>
    <col min="3" max="3" width="11.28515625" style="1" customWidth="1"/>
    <col min="4" max="4" width="6.85546875" style="1" customWidth="1"/>
    <col min="5" max="7" width="5.7109375" style="1" customWidth="1"/>
    <col min="8" max="8" width="6.140625" style="1" customWidth="1"/>
    <col min="9" max="9" width="5.7109375" style="1" customWidth="1"/>
    <col min="10" max="10" width="5.28515625" style="1" customWidth="1"/>
    <col min="11" max="14" width="5.7109375" style="1" customWidth="1"/>
    <col min="15" max="15" width="2.85546875" style="1" customWidth="1"/>
    <col min="16" max="16" width="2.85546875" style="231" customWidth="1"/>
    <col min="17" max="17" width="8.85546875" style="1"/>
    <col min="18" max="18" width="10.7109375" style="1" customWidth="1"/>
    <col min="19" max="19" width="15.5703125" style="1" customWidth="1"/>
    <col min="20" max="16384" width="8.85546875" style="1"/>
  </cols>
  <sheetData>
    <row r="1" spans="1:27" s="47" customFormat="1" ht="16.5" customHeight="1">
      <c r="B1" s="40"/>
      <c r="C1" s="40"/>
      <c r="D1" s="40"/>
      <c r="E1" s="40"/>
      <c r="F1" s="40"/>
      <c r="G1" s="40"/>
      <c r="H1" s="40"/>
      <c r="I1" s="40"/>
      <c r="J1" s="40"/>
      <c r="K1" s="40"/>
      <c r="P1" s="223"/>
      <c r="R1" s="41" t="s">
        <v>359</v>
      </c>
    </row>
    <row r="2" spans="1:27" s="38" customFormat="1" ht="19.5" customHeight="1">
      <c r="A2" s="82" t="s">
        <v>402</v>
      </c>
      <c r="B2" s="41"/>
      <c r="C2" s="41"/>
      <c r="D2" s="41"/>
      <c r="E2" s="41"/>
      <c r="F2" s="41"/>
      <c r="G2" s="41"/>
      <c r="H2" s="41"/>
      <c r="I2" s="41"/>
      <c r="J2" s="41"/>
      <c r="K2" s="41"/>
      <c r="L2" s="127" t="s">
        <v>642</v>
      </c>
      <c r="M2" s="41"/>
      <c r="N2" s="41"/>
      <c r="O2" s="41"/>
      <c r="P2" s="134"/>
      <c r="Q2" s="41"/>
      <c r="R2" s="139" t="s">
        <v>360</v>
      </c>
      <c r="S2" s="41"/>
      <c r="T2" s="41"/>
      <c r="U2" s="41"/>
      <c r="V2" s="41"/>
      <c r="W2" s="41"/>
      <c r="X2" s="41"/>
      <c r="Y2" s="41"/>
      <c r="Z2" s="41"/>
      <c r="AA2" s="41"/>
    </row>
    <row r="3" spans="1:27" s="47" customFormat="1" ht="11.25" customHeight="1">
      <c r="A3" s="55" t="s">
        <v>268</v>
      </c>
      <c r="B3" s="4"/>
      <c r="C3" s="4"/>
      <c r="D3" s="4"/>
      <c r="E3" s="4"/>
      <c r="F3" s="4"/>
      <c r="G3" s="4"/>
      <c r="H3" s="4"/>
      <c r="I3" s="4"/>
      <c r="J3" s="4"/>
      <c r="K3" s="4"/>
      <c r="L3" s="41"/>
      <c r="M3" s="41"/>
      <c r="N3" s="41"/>
      <c r="O3" s="41"/>
      <c r="P3" s="134"/>
      <c r="Q3" s="41"/>
      <c r="R3" s="41"/>
      <c r="S3" s="41"/>
      <c r="T3" s="41"/>
      <c r="U3" s="41"/>
      <c r="V3" s="41"/>
      <c r="W3" s="41"/>
      <c r="X3" s="41"/>
      <c r="Y3" s="41"/>
      <c r="Z3" s="41"/>
      <c r="AA3" s="41"/>
    </row>
    <row r="4" spans="1:27" s="38" customFormat="1" ht="33.75" customHeight="1">
      <c r="A4" s="82"/>
      <c r="B4" s="295" t="s">
        <v>411</v>
      </c>
      <c r="C4" s="295"/>
      <c r="D4" s="295"/>
      <c r="E4" s="295"/>
      <c r="F4" s="295"/>
      <c r="G4" s="295"/>
      <c r="H4" s="295"/>
      <c r="I4" s="295"/>
      <c r="J4" s="295"/>
      <c r="K4" s="295"/>
      <c r="L4" s="295"/>
      <c r="M4" s="295"/>
      <c r="N4" s="295"/>
      <c r="O4" s="295"/>
      <c r="P4" s="224"/>
      <c r="Q4" s="41"/>
      <c r="R4" s="128"/>
      <c r="S4" s="41"/>
      <c r="T4" s="41"/>
      <c r="U4" s="41"/>
      <c r="V4" s="41"/>
      <c r="W4" s="41"/>
      <c r="X4" s="41"/>
      <c r="Y4" s="41"/>
      <c r="Z4" s="41"/>
      <c r="AA4" s="41"/>
    </row>
    <row r="5" spans="1:27" s="47" customFormat="1" ht="11.25" customHeight="1">
      <c r="A5" s="36"/>
      <c r="B5" s="4"/>
      <c r="C5" s="4"/>
      <c r="D5" s="4"/>
      <c r="E5" s="4"/>
      <c r="F5" s="4"/>
      <c r="G5" s="4"/>
      <c r="H5" s="4"/>
      <c r="I5" s="4"/>
      <c r="J5" s="4"/>
      <c r="K5" s="4"/>
      <c r="L5" s="41"/>
      <c r="M5" s="41"/>
      <c r="N5" s="41"/>
      <c r="O5" s="41"/>
      <c r="P5" s="134"/>
      <c r="Q5" s="41"/>
      <c r="R5" s="41"/>
      <c r="S5" s="41"/>
      <c r="T5" s="41"/>
      <c r="U5" s="41"/>
      <c r="V5" s="41"/>
      <c r="W5" s="41"/>
      <c r="X5" s="41"/>
      <c r="Y5" s="41"/>
      <c r="Z5" s="41"/>
      <c r="AA5" s="41"/>
    </row>
    <row r="6" spans="1:27" s="41" customFormat="1" ht="3.75" customHeight="1">
      <c r="A6" s="56"/>
      <c r="B6" s="57"/>
      <c r="C6" s="57"/>
      <c r="D6" s="57"/>
      <c r="E6" s="57"/>
      <c r="F6" s="57"/>
      <c r="G6" s="57"/>
      <c r="H6" s="57"/>
      <c r="I6" s="57"/>
      <c r="J6" s="57"/>
      <c r="K6" s="57"/>
      <c r="L6" s="57"/>
      <c r="M6" s="57"/>
      <c r="N6" s="57"/>
      <c r="O6" s="57"/>
      <c r="P6" s="225"/>
    </row>
    <row r="7" spans="1:27" s="47" customFormat="1" ht="15.75" customHeight="1" thickBot="1">
      <c r="A7" s="58">
        <v>1</v>
      </c>
      <c r="B7" s="57" t="s">
        <v>0</v>
      </c>
      <c r="C7" s="323" t="s">
        <v>687</v>
      </c>
      <c r="D7" s="323"/>
      <c r="E7" s="323"/>
      <c r="F7" s="323"/>
      <c r="G7" s="323"/>
      <c r="H7" s="323"/>
      <c r="I7" s="323"/>
      <c r="J7" s="323"/>
      <c r="K7" s="323"/>
      <c r="L7" s="323"/>
      <c r="M7" s="323"/>
      <c r="N7" s="323"/>
      <c r="O7" s="57"/>
      <c r="P7" s="225"/>
      <c r="Q7" s="41"/>
      <c r="R7" s="41"/>
      <c r="S7" s="41"/>
      <c r="T7" s="41"/>
      <c r="U7" s="41"/>
      <c r="V7" s="41"/>
      <c r="W7" s="41"/>
      <c r="X7" s="41"/>
      <c r="Y7" s="41"/>
      <c r="Z7" s="41"/>
      <c r="AA7" s="41"/>
    </row>
    <row r="8" spans="1:27" s="47" customFormat="1" ht="15.75" customHeight="1" thickTop="1">
      <c r="A8" s="59"/>
      <c r="B8" s="60" t="s">
        <v>1</v>
      </c>
      <c r="C8" s="314"/>
      <c r="D8" s="314"/>
      <c r="E8" s="314"/>
      <c r="F8" s="314"/>
      <c r="G8" s="314"/>
      <c r="H8" s="314"/>
      <c r="I8" s="314"/>
      <c r="J8" s="314"/>
      <c r="K8" s="314"/>
      <c r="L8" s="314"/>
      <c r="M8" s="314"/>
      <c r="N8" s="314"/>
      <c r="O8" s="57"/>
      <c r="P8" s="225"/>
      <c r="Q8" s="41"/>
      <c r="R8" s="41"/>
      <c r="S8" s="41"/>
      <c r="T8" s="41"/>
      <c r="U8" s="41"/>
      <c r="V8" s="41"/>
      <c r="W8" s="41"/>
      <c r="X8" s="41"/>
      <c r="Y8" s="41"/>
      <c r="Z8" s="41"/>
      <c r="AA8" s="41"/>
    </row>
    <row r="9" spans="1:27" s="51" customFormat="1" ht="5.25" customHeight="1" thickBot="1">
      <c r="A9" s="61"/>
      <c r="B9" s="62"/>
      <c r="C9" s="62"/>
      <c r="D9" s="62"/>
      <c r="E9" s="62"/>
      <c r="F9" s="62"/>
      <c r="G9" s="62"/>
      <c r="H9" s="62"/>
      <c r="I9" s="62"/>
      <c r="J9" s="62"/>
      <c r="K9" s="62"/>
      <c r="L9" s="62"/>
      <c r="M9" s="62"/>
      <c r="N9" s="62"/>
      <c r="O9" s="62"/>
      <c r="P9" s="226"/>
      <c r="Q9" s="63"/>
      <c r="R9" s="63"/>
      <c r="S9" s="63"/>
      <c r="T9" s="63"/>
      <c r="U9" s="63"/>
      <c r="V9" s="63"/>
      <c r="W9" s="63"/>
      <c r="X9" s="63"/>
      <c r="Y9" s="63"/>
      <c r="Z9" s="63"/>
      <c r="AA9" s="63"/>
    </row>
    <row r="10" spans="1:27" s="47" customFormat="1" ht="15.75" customHeight="1" thickTop="1">
      <c r="A10" s="64">
        <v>2</v>
      </c>
      <c r="B10" s="322" t="s">
        <v>278</v>
      </c>
      <c r="C10" s="322"/>
      <c r="D10" s="66"/>
      <c r="E10" s="66"/>
      <c r="F10" s="66"/>
      <c r="G10" s="66"/>
      <c r="H10" s="66"/>
      <c r="I10" s="66"/>
      <c r="J10" s="66"/>
      <c r="K10" s="66"/>
      <c r="L10" s="57"/>
      <c r="M10" s="57"/>
      <c r="N10" s="57"/>
      <c r="O10" s="57"/>
      <c r="P10" s="225"/>
      <c r="Q10" s="41"/>
      <c r="R10" s="41"/>
      <c r="S10" s="41"/>
      <c r="T10" s="41"/>
      <c r="U10" s="41"/>
      <c r="V10" s="41"/>
      <c r="W10" s="41"/>
      <c r="X10" s="41"/>
      <c r="Y10" s="41"/>
      <c r="Z10" s="41"/>
      <c r="AA10" s="41"/>
    </row>
    <row r="11" spans="1:27" s="47" customFormat="1" ht="15.75" customHeight="1" thickBot="1">
      <c r="A11" s="59"/>
      <c r="B11" s="60" t="s">
        <v>2</v>
      </c>
      <c r="C11" s="60"/>
      <c r="D11" s="60"/>
      <c r="E11" s="323" t="s">
        <v>644</v>
      </c>
      <c r="F11" s="323"/>
      <c r="G11" s="323"/>
      <c r="H11" s="323"/>
      <c r="I11" s="323"/>
      <c r="J11" s="323"/>
      <c r="K11" s="323"/>
      <c r="L11" s="323"/>
      <c r="M11" s="323"/>
      <c r="N11" s="323"/>
      <c r="O11" s="57"/>
      <c r="P11" s="225"/>
      <c r="Q11" s="41"/>
      <c r="R11" s="41"/>
      <c r="S11" s="41"/>
      <c r="T11" s="41"/>
      <c r="U11" s="41"/>
      <c r="V11" s="41"/>
      <c r="W11" s="41"/>
      <c r="X11" s="41"/>
      <c r="Y11" s="41"/>
      <c r="Z11" s="41"/>
      <c r="AA11" s="41"/>
    </row>
    <row r="12" spans="1:27" s="47" customFormat="1" ht="15.75" customHeight="1" thickTop="1" thickBot="1">
      <c r="A12" s="59"/>
      <c r="B12" s="60" t="s">
        <v>279</v>
      </c>
      <c r="C12" s="60"/>
      <c r="D12" s="60"/>
      <c r="E12" s="326" t="s">
        <v>645</v>
      </c>
      <c r="F12" s="326"/>
      <c r="G12" s="326"/>
      <c r="H12" s="326"/>
      <c r="I12" s="326"/>
      <c r="J12" s="326"/>
      <c r="K12" s="326"/>
      <c r="L12" s="326"/>
      <c r="M12" s="326"/>
      <c r="N12" s="326"/>
      <c r="O12" s="57"/>
      <c r="P12" s="225"/>
      <c r="Q12" s="41"/>
      <c r="R12" s="41"/>
      <c r="S12" s="41"/>
      <c r="T12" s="41"/>
      <c r="U12" s="41"/>
      <c r="V12" s="41"/>
      <c r="W12" s="41"/>
      <c r="X12" s="41"/>
      <c r="Y12" s="41"/>
      <c r="Z12" s="41"/>
      <c r="AA12" s="41"/>
    </row>
    <row r="13" spans="1:27" s="47" customFormat="1" ht="15.75" customHeight="1" thickTop="1" thickBot="1">
      <c r="A13" s="59"/>
      <c r="B13" s="60" t="s">
        <v>3</v>
      </c>
      <c r="C13" s="60"/>
      <c r="D13" s="60"/>
      <c r="E13" s="326"/>
      <c r="F13" s="326"/>
      <c r="G13" s="326"/>
      <c r="H13" s="326"/>
      <c r="I13" s="326"/>
      <c r="J13" s="326"/>
      <c r="K13" s="326"/>
      <c r="L13" s="326"/>
      <c r="M13" s="326"/>
      <c r="N13" s="326"/>
      <c r="O13" s="57"/>
      <c r="P13" s="225"/>
      <c r="Q13" s="41"/>
      <c r="R13" s="41"/>
      <c r="S13" s="41"/>
      <c r="T13" s="41"/>
      <c r="U13" s="41"/>
      <c r="V13" s="41"/>
      <c r="W13" s="41"/>
      <c r="X13" s="41"/>
      <c r="Y13" s="41"/>
      <c r="Z13" s="41"/>
      <c r="AA13" s="41"/>
    </row>
    <row r="14" spans="1:27" s="47" customFormat="1" ht="15.75" customHeight="1" thickTop="1" thickBot="1">
      <c r="A14" s="59"/>
      <c r="B14" s="60" t="s">
        <v>269</v>
      </c>
      <c r="C14" s="60"/>
      <c r="D14" s="60"/>
      <c r="E14" s="326" t="s">
        <v>646</v>
      </c>
      <c r="F14" s="326"/>
      <c r="G14" s="326"/>
      <c r="H14" s="326"/>
      <c r="I14" s="326"/>
      <c r="J14" s="326"/>
      <c r="K14" s="326"/>
      <c r="L14" s="326"/>
      <c r="M14" s="326"/>
      <c r="N14" s="326"/>
      <c r="O14" s="57"/>
      <c r="P14" s="225"/>
      <c r="Q14" s="41"/>
      <c r="R14" s="41"/>
      <c r="S14" s="41"/>
      <c r="T14" s="41"/>
      <c r="U14" s="41"/>
      <c r="V14" s="41"/>
      <c r="W14" s="41"/>
      <c r="X14" s="41"/>
      <c r="Y14" s="41"/>
      <c r="Z14" s="41"/>
      <c r="AA14" s="41"/>
    </row>
    <row r="15" spans="1:27" s="47" customFormat="1" ht="15.75" customHeight="1" thickTop="1">
      <c r="A15" s="59"/>
      <c r="B15" s="60" t="s">
        <v>270</v>
      </c>
      <c r="C15" s="60"/>
      <c r="D15" s="60"/>
      <c r="E15" s="314" t="s">
        <v>649</v>
      </c>
      <c r="F15" s="314"/>
      <c r="G15" s="314"/>
      <c r="H15" s="314"/>
      <c r="I15" s="314"/>
      <c r="J15" s="314"/>
      <c r="K15" s="314"/>
      <c r="L15" s="314"/>
      <c r="M15" s="314"/>
      <c r="N15" s="314"/>
      <c r="O15" s="57"/>
      <c r="P15" s="225"/>
      <c r="Q15" s="41"/>
      <c r="R15" s="41"/>
      <c r="S15" s="41"/>
      <c r="T15" s="41"/>
      <c r="U15" s="41"/>
      <c r="V15" s="41"/>
      <c r="W15" s="41"/>
      <c r="X15" s="41"/>
      <c r="Y15" s="41"/>
      <c r="Z15" s="41"/>
      <c r="AA15" s="41"/>
    </row>
    <row r="16" spans="1:27" s="47" customFormat="1" ht="3.75" customHeight="1" thickBot="1">
      <c r="A16" s="61"/>
      <c r="B16" s="62"/>
      <c r="C16" s="62"/>
      <c r="D16" s="62"/>
      <c r="E16" s="62"/>
      <c r="F16" s="62"/>
      <c r="G16" s="62"/>
      <c r="H16" s="73"/>
      <c r="I16" s="73"/>
      <c r="J16" s="73"/>
      <c r="K16" s="73"/>
      <c r="L16" s="73"/>
      <c r="M16" s="73"/>
      <c r="N16" s="73"/>
      <c r="O16" s="62"/>
      <c r="P16" s="225"/>
      <c r="Q16" s="41"/>
      <c r="R16" s="41"/>
      <c r="S16" s="41"/>
      <c r="T16" s="41"/>
      <c r="U16" s="41"/>
      <c r="V16" s="41"/>
      <c r="W16" s="41"/>
      <c r="X16" s="41"/>
      <c r="Y16" s="41"/>
      <c r="Z16" s="41"/>
      <c r="AA16" s="41"/>
    </row>
    <row r="17" spans="1:27" s="47" customFormat="1" ht="15.75" customHeight="1" thickTop="1" thickBot="1">
      <c r="A17" s="64">
        <v>3</v>
      </c>
      <c r="B17" s="60" t="s">
        <v>4</v>
      </c>
      <c r="C17" s="67"/>
      <c r="D17" s="67"/>
      <c r="E17" s="66"/>
      <c r="F17" s="66"/>
      <c r="G17" s="66"/>
      <c r="H17" s="66"/>
      <c r="I17" s="66"/>
      <c r="J17" s="66"/>
      <c r="K17" s="66"/>
      <c r="L17" s="66"/>
      <c r="M17" s="66"/>
      <c r="N17" s="66"/>
      <c r="O17" s="57"/>
      <c r="P17" s="225"/>
      <c r="Q17" s="41"/>
      <c r="R17" s="41"/>
      <c r="S17" s="41"/>
      <c r="T17" s="41"/>
      <c r="U17" s="41"/>
      <c r="V17" s="41"/>
      <c r="W17" s="41"/>
      <c r="X17" s="41"/>
      <c r="Y17" s="41"/>
      <c r="Z17" s="41"/>
      <c r="AA17" s="41"/>
    </row>
    <row r="18" spans="1:27" s="47" customFormat="1" ht="15.75" customHeight="1" thickTop="1">
      <c r="A18" s="59"/>
      <c r="B18" s="60" t="s">
        <v>5</v>
      </c>
      <c r="C18" s="60"/>
      <c r="D18" s="60"/>
      <c r="E18" s="314" t="s">
        <v>647</v>
      </c>
      <c r="F18" s="314"/>
      <c r="G18" s="314"/>
      <c r="H18" s="314"/>
      <c r="I18" s="314"/>
      <c r="J18" s="314"/>
      <c r="K18" s="314"/>
      <c r="L18" s="314"/>
      <c r="M18" s="314"/>
      <c r="N18" s="314"/>
      <c r="O18" s="57"/>
      <c r="P18" s="225"/>
      <c r="Q18" s="41"/>
      <c r="R18" s="41"/>
      <c r="S18" s="41"/>
      <c r="T18" s="41"/>
      <c r="U18" s="41"/>
      <c r="V18" s="41"/>
      <c r="W18" s="41"/>
      <c r="X18" s="41"/>
      <c r="Y18" s="41"/>
      <c r="Z18" s="41"/>
      <c r="AA18" s="41"/>
    </row>
    <row r="19" spans="1:27" s="47" customFormat="1" ht="4.5" customHeight="1" thickBot="1">
      <c r="A19" s="61"/>
      <c r="B19" s="62"/>
      <c r="C19" s="62"/>
      <c r="D19" s="62"/>
      <c r="E19" s="62"/>
      <c r="F19" s="62"/>
      <c r="G19" s="62"/>
      <c r="H19" s="73"/>
      <c r="I19" s="73"/>
      <c r="J19" s="73"/>
      <c r="K19" s="73"/>
      <c r="L19" s="73"/>
      <c r="M19" s="73"/>
      <c r="N19" s="73"/>
      <c r="O19" s="62"/>
      <c r="P19" s="225"/>
      <c r="Q19" s="41"/>
      <c r="R19" s="41"/>
      <c r="S19" s="41"/>
      <c r="T19" s="41"/>
      <c r="U19" s="41"/>
      <c r="V19" s="41"/>
      <c r="W19" s="41"/>
      <c r="X19" s="41"/>
      <c r="Y19" s="41"/>
      <c r="Z19" s="41"/>
      <c r="AA19" s="41"/>
    </row>
    <row r="20" spans="1:27" s="47" customFormat="1" ht="15.75" customHeight="1" thickTop="1">
      <c r="A20" s="64">
        <v>4</v>
      </c>
      <c r="B20" s="317" t="s">
        <v>6</v>
      </c>
      <c r="C20" s="317"/>
      <c r="D20" s="67"/>
      <c r="E20" s="66"/>
      <c r="F20" s="66"/>
      <c r="G20" s="66"/>
      <c r="H20" s="66"/>
      <c r="I20" s="66"/>
      <c r="J20" s="66"/>
      <c r="K20" s="66"/>
      <c r="L20" s="66"/>
      <c r="M20" s="66"/>
      <c r="N20" s="66"/>
      <c r="O20" s="57"/>
      <c r="P20" s="225"/>
      <c r="Q20" s="41"/>
      <c r="R20" s="41"/>
      <c r="S20" s="41"/>
      <c r="T20" s="41"/>
      <c r="U20" s="41"/>
      <c r="V20" s="41"/>
      <c r="W20" s="41"/>
      <c r="X20" s="41"/>
      <c r="Y20" s="41"/>
      <c r="Z20" s="41"/>
      <c r="AA20" s="41"/>
    </row>
    <row r="21" spans="1:27" s="47" customFormat="1" ht="15.75" customHeight="1" thickBot="1">
      <c r="A21" s="59"/>
      <c r="B21" s="60" t="s">
        <v>271</v>
      </c>
      <c r="C21" s="60"/>
      <c r="D21" s="60"/>
      <c r="E21" s="318" t="s">
        <v>648</v>
      </c>
      <c r="F21" s="318"/>
      <c r="G21" s="318"/>
      <c r="H21" s="318"/>
      <c r="I21" s="318"/>
      <c r="J21" s="318"/>
      <c r="K21" s="318"/>
      <c r="L21" s="318"/>
      <c r="M21" s="318"/>
      <c r="N21" s="318"/>
      <c r="O21" s="57"/>
      <c r="P21" s="225"/>
      <c r="Q21" s="41"/>
      <c r="R21" s="41"/>
      <c r="S21" s="41"/>
      <c r="T21" s="41"/>
      <c r="U21" s="41"/>
      <c r="V21" s="41"/>
      <c r="W21" s="41"/>
      <c r="X21" s="41"/>
      <c r="Y21" s="41"/>
      <c r="Z21" s="41"/>
      <c r="AA21" s="41"/>
    </row>
    <row r="22" spans="1:27" s="47" customFormat="1" ht="15.75" customHeight="1" thickTop="1" thickBot="1">
      <c r="A22" s="59"/>
      <c r="B22" s="60" t="s">
        <v>7</v>
      </c>
      <c r="C22" s="60"/>
      <c r="D22" s="60"/>
      <c r="E22" s="319" t="s">
        <v>650</v>
      </c>
      <c r="F22" s="319"/>
      <c r="G22" s="319"/>
      <c r="H22" s="319"/>
      <c r="I22" s="319"/>
      <c r="J22" s="319"/>
      <c r="K22" s="319"/>
      <c r="L22" s="319"/>
      <c r="M22" s="319"/>
      <c r="N22" s="319"/>
      <c r="O22" s="57"/>
      <c r="P22" s="225"/>
      <c r="Q22" s="41"/>
      <c r="R22" s="41"/>
      <c r="S22" s="41"/>
      <c r="T22" s="41"/>
      <c r="U22" s="41"/>
      <c r="V22" s="41"/>
      <c r="W22" s="41"/>
      <c r="X22" s="41"/>
      <c r="Y22" s="41"/>
      <c r="Z22" s="41"/>
      <c r="AA22" s="41"/>
    </row>
    <row r="23" spans="1:27" s="47" customFormat="1" ht="3.75" customHeight="1" thickTop="1" thickBot="1">
      <c r="A23" s="61"/>
      <c r="B23" s="62"/>
      <c r="C23" s="62"/>
      <c r="D23" s="62"/>
      <c r="E23" s="62"/>
      <c r="F23" s="62"/>
      <c r="G23" s="62"/>
      <c r="H23" s="73"/>
      <c r="I23" s="73"/>
      <c r="J23" s="73"/>
      <c r="K23" s="73"/>
      <c r="L23" s="73"/>
      <c r="M23" s="73"/>
      <c r="N23" s="73"/>
      <c r="O23" s="62"/>
      <c r="P23" s="225"/>
      <c r="Q23" s="41"/>
      <c r="R23" s="41"/>
      <c r="S23" s="41"/>
      <c r="T23" s="41"/>
      <c r="U23" s="41"/>
      <c r="V23" s="41"/>
      <c r="W23" s="41"/>
      <c r="X23" s="41"/>
      <c r="Y23" s="41"/>
      <c r="Z23" s="41"/>
      <c r="AA23" s="41"/>
    </row>
    <row r="24" spans="1:27" s="47" customFormat="1" ht="15.75" customHeight="1" thickTop="1">
      <c r="A24" s="64">
        <v>5</v>
      </c>
      <c r="B24" s="60" t="s">
        <v>8</v>
      </c>
      <c r="C24" s="67"/>
      <c r="D24" s="67"/>
      <c r="E24" s="66"/>
      <c r="F24" s="67"/>
      <c r="G24" s="67"/>
      <c r="H24" s="67"/>
      <c r="I24" s="70"/>
      <c r="J24" s="67"/>
      <c r="K24" s="66"/>
      <c r="L24" s="66"/>
      <c r="M24" s="66"/>
      <c r="N24" s="66"/>
      <c r="O24" s="66"/>
      <c r="P24" s="227"/>
      <c r="Q24" s="41"/>
      <c r="R24" s="41"/>
      <c r="S24" s="41"/>
      <c r="T24" s="41"/>
      <c r="U24" s="41"/>
      <c r="V24" s="41"/>
      <c r="W24" s="41"/>
      <c r="X24" s="41"/>
      <c r="Y24" s="41"/>
      <c r="Z24" s="41"/>
      <c r="AA24" s="41"/>
    </row>
    <row r="25" spans="1:27" s="47" customFormat="1" ht="15.75" customHeight="1" thickBot="1">
      <c r="A25" s="59"/>
      <c r="B25" s="60" t="s">
        <v>9</v>
      </c>
      <c r="C25" s="60"/>
      <c r="D25" s="60"/>
      <c r="E25" s="60"/>
      <c r="F25" s="60"/>
      <c r="G25" s="60"/>
      <c r="H25" s="71" t="s">
        <v>187</v>
      </c>
      <c r="I25" s="320">
        <v>2015</v>
      </c>
      <c r="J25" s="320"/>
      <c r="K25" s="320"/>
      <c r="L25" s="320"/>
      <c r="M25" s="320"/>
      <c r="N25" s="320"/>
      <c r="O25" s="57"/>
      <c r="P25" s="225"/>
      <c r="Q25" s="41"/>
      <c r="R25" s="41"/>
      <c r="S25" s="41"/>
      <c r="T25" s="41"/>
      <c r="U25" s="41"/>
      <c r="V25" s="41"/>
      <c r="W25" s="41"/>
      <c r="X25" s="41"/>
      <c r="Y25" s="41"/>
      <c r="Z25" s="41"/>
      <c r="AA25" s="41"/>
    </row>
    <row r="26" spans="1:27" s="47" customFormat="1" ht="15.75" customHeight="1" thickTop="1" thickBot="1">
      <c r="A26" s="59"/>
      <c r="B26" s="60" t="s">
        <v>10</v>
      </c>
      <c r="C26" s="60"/>
      <c r="D26" s="60"/>
      <c r="E26" s="60"/>
      <c r="F26" s="60"/>
      <c r="G26" s="60"/>
      <c r="H26" s="72"/>
      <c r="I26" s="324">
        <v>4</v>
      </c>
      <c r="J26" s="324"/>
      <c r="K26" s="324"/>
      <c r="L26" s="324"/>
      <c r="M26" s="324"/>
      <c r="N26" s="324"/>
      <c r="O26" s="57"/>
      <c r="P26" s="225"/>
      <c r="Q26" s="41"/>
      <c r="R26" s="41"/>
      <c r="S26" s="41"/>
      <c r="T26" s="41"/>
      <c r="U26" s="41"/>
      <c r="V26" s="41"/>
      <c r="W26" s="41"/>
      <c r="X26" s="41"/>
      <c r="Y26" s="41"/>
      <c r="Z26" s="41"/>
      <c r="AA26" s="41"/>
    </row>
    <row r="27" spans="1:27" s="47" customFormat="1" ht="15.75" customHeight="1" thickTop="1" thickBot="1">
      <c r="A27" s="59"/>
      <c r="B27" s="60" t="s">
        <v>188</v>
      </c>
      <c r="C27" s="60"/>
      <c r="D27" s="60"/>
      <c r="E27" s="60"/>
      <c r="F27" s="60"/>
      <c r="G27" s="60"/>
      <c r="H27" s="72"/>
      <c r="I27" s="325">
        <v>40</v>
      </c>
      <c r="J27" s="325"/>
      <c r="K27" s="325"/>
      <c r="L27" s="325"/>
      <c r="M27" s="325"/>
      <c r="N27" s="325"/>
      <c r="O27" s="57"/>
      <c r="P27" s="225"/>
      <c r="Q27" s="41"/>
      <c r="R27" s="41"/>
      <c r="S27" s="41"/>
      <c r="T27" s="41"/>
      <c r="U27" s="41"/>
      <c r="V27" s="41"/>
      <c r="W27" s="41"/>
      <c r="X27" s="41"/>
      <c r="Y27" s="41"/>
      <c r="Z27" s="41"/>
      <c r="AA27" s="41"/>
    </row>
    <row r="28" spans="1:27" s="47" customFormat="1" ht="3.75" customHeight="1" thickTop="1" thickBot="1">
      <c r="A28" s="61"/>
      <c r="B28" s="62"/>
      <c r="C28" s="62"/>
      <c r="D28" s="62"/>
      <c r="E28" s="62"/>
      <c r="F28" s="62"/>
      <c r="G28" s="62"/>
      <c r="H28" s="73"/>
      <c r="I28" s="73"/>
      <c r="J28" s="73"/>
      <c r="K28" s="73"/>
      <c r="L28" s="73"/>
      <c r="M28" s="73"/>
      <c r="N28" s="73"/>
      <c r="O28" s="62"/>
      <c r="P28" s="225"/>
      <c r="Q28" s="41"/>
      <c r="R28" s="41"/>
      <c r="S28" s="41"/>
      <c r="T28" s="41"/>
      <c r="U28" s="41"/>
      <c r="V28" s="41"/>
      <c r="W28" s="41"/>
      <c r="X28" s="41"/>
      <c r="Y28" s="41"/>
      <c r="Z28" s="41"/>
      <c r="AA28" s="41"/>
    </row>
    <row r="29" spans="1:27" s="47" customFormat="1" ht="15.75" customHeight="1" thickTop="1">
      <c r="A29" s="64">
        <v>6</v>
      </c>
      <c r="B29" s="322" t="s">
        <v>11</v>
      </c>
      <c r="C29" s="322"/>
      <c r="D29" s="67"/>
      <c r="E29" s="67"/>
      <c r="F29" s="67"/>
      <c r="G29" s="67"/>
      <c r="H29" s="74"/>
      <c r="I29" s="70"/>
      <c r="J29" s="66"/>
      <c r="K29" s="66"/>
      <c r="L29" s="66"/>
      <c r="M29" s="66"/>
      <c r="N29" s="66"/>
      <c r="O29" s="66"/>
      <c r="P29" s="227"/>
      <c r="Q29" s="41"/>
      <c r="R29" s="41"/>
      <c r="S29" s="41"/>
      <c r="T29" s="41"/>
      <c r="U29" s="41"/>
      <c r="V29" s="41"/>
      <c r="W29" s="41"/>
      <c r="X29" s="41"/>
      <c r="Y29" s="41"/>
      <c r="Z29" s="41"/>
      <c r="AA29" s="41"/>
    </row>
    <row r="30" spans="1:27" s="47" customFormat="1" ht="15.75" customHeight="1" thickBot="1">
      <c r="A30" s="64"/>
      <c r="B30" s="60" t="s">
        <v>12</v>
      </c>
      <c r="C30" s="60"/>
      <c r="D30" s="60"/>
      <c r="E30" s="60"/>
      <c r="F30" s="60"/>
      <c r="G30" s="60"/>
      <c r="H30" s="72"/>
      <c r="I30" s="299">
        <v>41956</v>
      </c>
      <c r="J30" s="300"/>
      <c r="K30" s="300"/>
      <c r="L30" s="300"/>
      <c r="M30" s="300"/>
      <c r="N30" s="300"/>
      <c r="O30" s="57"/>
      <c r="P30" s="225"/>
      <c r="Q30" s="41"/>
      <c r="R30" s="41"/>
      <c r="S30" s="41"/>
      <c r="T30" s="41"/>
      <c r="U30" s="41"/>
      <c r="V30" s="41"/>
      <c r="W30" s="41"/>
      <c r="X30" s="41"/>
      <c r="Y30" s="41"/>
      <c r="Z30" s="41"/>
      <c r="AA30" s="41"/>
    </row>
    <row r="31" spans="1:27" s="47" customFormat="1" ht="15.75" customHeight="1" thickTop="1" thickBot="1">
      <c r="A31" s="64"/>
      <c r="B31" s="60" t="s">
        <v>13</v>
      </c>
      <c r="C31" s="60"/>
      <c r="D31" s="60"/>
      <c r="E31" s="60"/>
      <c r="F31" s="60"/>
      <c r="G31" s="60"/>
      <c r="H31" s="71" t="s">
        <v>187</v>
      </c>
      <c r="I31" s="301">
        <v>2014</v>
      </c>
      <c r="J31" s="301"/>
      <c r="K31" s="301"/>
      <c r="L31" s="301"/>
      <c r="M31" s="301"/>
      <c r="N31" s="301"/>
      <c r="O31" s="57"/>
      <c r="P31" s="225"/>
      <c r="Q31" s="41"/>
      <c r="R31" s="41"/>
      <c r="S31" s="41"/>
      <c r="T31" s="41"/>
      <c r="U31" s="41"/>
      <c r="V31" s="41"/>
      <c r="W31" s="41"/>
      <c r="X31" s="41"/>
      <c r="Y31" s="41"/>
      <c r="Z31" s="41"/>
      <c r="AA31" s="41"/>
    </row>
    <row r="32" spans="1:27" s="47" customFormat="1" ht="15.75" customHeight="1" thickTop="1" thickBot="1">
      <c r="A32" s="64"/>
      <c r="B32" s="60" t="s">
        <v>189</v>
      </c>
      <c r="C32" s="60"/>
      <c r="D32" s="60"/>
      <c r="E32" s="60"/>
      <c r="F32" s="60"/>
      <c r="G32" s="60"/>
      <c r="H32" s="71"/>
      <c r="I32" s="324" t="s">
        <v>191</v>
      </c>
      <c r="J32" s="324"/>
      <c r="K32" s="324"/>
      <c r="L32" s="324"/>
      <c r="M32" s="57"/>
      <c r="N32" s="57"/>
      <c r="O32" s="57"/>
      <c r="P32" s="225"/>
      <c r="Q32" s="41"/>
      <c r="R32" s="41"/>
      <c r="S32" s="41"/>
      <c r="T32" s="41"/>
      <c r="U32" s="41"/>
      <c r="V32" s="41"/>
      <c r="W32" s="41"/>
      <c r="X32" s="41"/>
      <c r="Y32" s="41"/>
      <c r="Z32" s="41"/>
      <c r="AA32" s="41"/>
    </row>
    <row r="33" spans="1:27" s="47" customFormat="1" ht="3.75" customHeight="1" thickTop="1" thickBot="1">
      <c r="A33" s="61"/>
      <c r="B33" s="62"/>
      <c r="C33" s="62"/>
      <c r="D33" s="62"/>
      <c r="E33" s="62"/>
      <c r="F33" s="62"/>
      <c r="G33" s="62"/>
      <c r="H33" s="73"/>
      <c r="I33" s="73"/>
      <c r="J33" s="73"/>
      <c r="K33" s="73"/>
      <c r="L33" s="73"/>
      <c r="M33" s="73"/>
      <c r="N33" s="73"/>
      <c r="O33" s="62"/>
      <c r="P33" s="225"/>
      <c r="Q33" s="41"/>
      <c r="R33" s="41"/>
      <c r="S33" s="41"/>
      <c r="T33" s="41"/>
      <c r="U33" s="41"/>
      <c r="V33" s="41"/>
      <c r="W33" s="41"/>
      <c r="X33" s="41"/>
      <c r="Y33" s="41"/>
      <c r="Z33" s="41"/>
      <c r="AA33" s="41"/>
    </row>
    <row r="34" spans="1:27" s="47" customFormat="1" ht="15.75" customHeight="1" thickTop="1" thickBot="1">
      <c r="A34" s="64">
        <v>7</v>
      </c>
      <c r="B34" s="321" t="s">
        <v>280</v>
      </c>
      <c r="C34" s="321"/>
      <c r="D34" s="321"/>
      <c r="E34" s="67"/>
      <c r="F34" s="67"/>
      <c r="G34" s="67"/>
      <c r="H34" s="74"/>
      <c r="I34" s="70"/>
      <c r="J34" s="66"/>
      <c r="K34" s="66"/>
      <c r="L34" s="66"/>
      <c r="M34" s="66"/>
      <c r="N34" s="66"/>
      <c r="O34" s="66"/>
      <c r="P34" s="227"/>
      <c r="Q34" s="41"/>
      <c r="R34" s="41"/>
      <c r="S34" s="41"/>
      <c r="T34" s="41"/>
      <c r="U34" s="41"/>
      <c r="V34" s="41"/>
      <c r="W34" s="41"/>
      <c r="X34" s="41"/>
      <c r="Y34" s="41"/>
      <c r="Z34" s="41"/>
      <c r="AA34" s="41"/>
    </row>
    <row r="35" spans="1:27" s="47" customFormat="1" ht="15.75" customHeight="1" thickTop="1" thickBot="1">
      <c r="A35" s="64"/>
      <c r="B35" s="60" t="s">
        <v>281</v>
      </c>
      <c r="C35" s="60"/>
      <c r="D35" s="60"/>
      <c r="E35" s="60"/>
      <c r="F35" s="60"/>
      <c r="G35" s="60"/>
      <c r="H35" s="60"/>
      <c r="I35" s="315">
        <v>2000</v>
      </c>
      <c r="J35" s="315"/>
      <c r="K35" s="66"/>
      <c r="L35" s="72" t="s">
        <v>283</v>
      </c>
      <c r="M35" s="316">
        <v>2012</v>
      </c>
      <c r="N35" s="316"/>
      <c r="O35" s="57"/>
      <c r="P35" s="225"/>
      <c r="Q35" s="41"/>
      <c r="R35" s="41"/>
      <c r="S35" s="41"/>
      <c r="T35" s="41"/>
      <c r="U35" s="41"/>
      <c r="V35" s="41"/>
      <c r="W35" s="41"/>
      <c r="X35" s="41"/>
      <c r="Y35" s="41"/>
      <c r="Z35" s="41"/>
      <c r="AA35" s="41"/>
    </row>
    <row r="36" spans="1:27" s="47" customFormat="1" ht="15.75" customHeight="1" thickTop="1" thickBot="1">
      <c r="A36" s="64"/>
      <c r="B36" s="60" t="s">
        <v>282</v>
      </c>
      <c r="C36" s="60"/>
      <c r="D36" s="60"/>
      <c r="E36" s="60"/>
      <c r="F36" s="233" t="s">
        <v>638</v>
      </c>
      <c r="G36" s="60"/>
      <c r="H36" s="71"/>
      <c r="I36" s="315"/>
      <c r="J36" s="315"/>
      <c r="K36" s="315"/>
      <c r="L36" s="315"/>
      <c r="M36" s="57" t="s">
        <v>195</v>
      </c>
      <c r="N36" s="57"/>
      <c r="O36" s="57"/>
      <c r="P36" s="225"/>
      <c r="Q36" s="41"/>
      <c r="R36" s="41"/>
      <c r="S36" s="41"/>
      <c r="T36" s="41"/>
      <c r="U36" s="41"/>
      <c r="V36" s="41"/>
      <c r="W36" s="41"/>
      <c r="X36" s="41"/>
      <c r="Y36" s="41"/>
      <c r="Z36" s="41"/>
      <c r="AA36" s="41"/>
    </row>
    <row r="37" spans="1:27" s="47" customFormat="1" ht="15.75" customHeight="1" thickTop="1" thickBot="1">
      <c r="A37" s="64"/>
      <c r="B37" s="60" t="s">
        <v>192</v>
      </c>
      <c r="C37" s="60"/>
      <c r="D37" s="60"/>
      <c r="E37" s="60"/>
      <c r="F37" s="60"/>
      <c r="G37" s="60"/>
      <c r="H37" s="71"/>
      <c r="I37" s="315">
        <v>26680</v>
      </c>
      <c r="J37" s="315"/>
      <c r="K37" s="315"/>
      <c r="L37" s="315"/>
      <c r="M37" s="57" t="s">
        <v>195</v>
      </c>
      <c r="N37" s="57"/>
      <c r="O37" s="57"/>
      <c r="P37" s="225"/>
      <c r="Q37" s="41"/>
      <c r="R37" s="41"/>
      <c r="S37" s="41"/>
      <c r="T37" s="41"/>
      <c r="U37" s="41"/>
      <c r="V37" s="41"/>
      <c r="W37" s="41"/>
      <c r="X37" s="41"/>
      <c r="Y37" s="41"/>
      <c r="Z37" s="41"/>
      <c r="AA37" s="41"/>
    </row>
    <row r="38" spans="1:27" s="47" customFormat="1" ht="15.75" customHeight="1" thickTop="1" thickBot="1">
      <c r="A38" s="64"/>
      <c r="B38" s="60" t="s">
        <v>193</v>
      </c>
      <c r="C38" s="60"/>
      <c r="D38" s="60"/>
      <c r="E38" s="60"/>
      <c r="F38" s="60"/>
      <c r="G38" s="60"/>
      <c r="H38" s="71"/>
      <c r="I38" s="298">
        <v>50</v>
      </c>
      <c r="J38" s="298"/>
      <c r="K38" s="298"/>
      <c r="L38" s="298"/>
      <c r="M38" s="57" t="s">
        <v>14</v>
      </c>
      <c r="N38" s="57"/>
      <c r="O38" s="57"/>
      <c r="P38" s="225"/>
      <c r="Q38" s="41"/>
      <c r="R38" s="41"/>
      <c r="S38" s="41"/>
      <c r="T38" s="41"/>
      <c r="U38" s="41"/>
      <c r="V38" s="41"/>
      <c r="W38" s="41"/>
      <c r="X38" s="41"/>
      <c r="Y38" s="41"/>
      <c r="Z38" s="41"/>
      <c r="AA38" s="41"/>
    </row>
    <row r="39" spans="1:27" s="47" customFormat="1" ht="15.75" customHeight="1" thickTop="1" thickBot="1">
      <c r="A39" s="64"/>
      <c r="B39" s="60" t="s">
        <v>194</v>
      </c>
      <c r="C39" s="60"/>
      <c r="D39" s="60"/>
      <c r="E39" s="60"/>
      <c r="F39" s="60"/>
      <c r="G39" s="60"/>
      <c r="H39" s="57"/>
      <c r="I39" s="298">
        <v>0</v>
      </c>
      <c r="J39" s="298"/>
      <c r="K39" s="298"/>
      <c r="L39" s="298"/>
      <c r="M39" s="57" t="s">
        <v>21</v>
      </c>
      <c r="N39" s="57"/>
      <c r="O39" s="57"/>
      <c r="P39" s="225"/>
      <c r="Q39" s="41"/>
      <c r="R39" s="41"/>
      <c r="S39" s="41"/>
      <c r="T39" s="41"/>
      <c r="U39" s="41"/>
      <c r="V39" s="41"/>
      <c r="W39" s="41"/>
      <c r="X39" s="41"/>
      <c r="Y39" s="41"/>
      <c r="Z39" s="41"/>
      <c r="AA39" s="41"/>
    </row>
    <row r="40" spans="1:27" s="47" customFormat="1" ht="15.75" customHeight="1" thickTop="1" thickBot="1">
      <c r="A40" s="64"/>
      <c r="B40" s="60" t="s">
        <v>203</v>
      </c>
      <c r="C40" s="60"/>
      <c r="D40" s="60"/>
      <c r="E40" s="60"/>
      <c r="F40" s="60"/>
      <c r="G40" s="60"/>
      <c r="H40" s="57"/>
      <c r="I40" s="298" t="s">
        <v>651</v>
      </c>
      <c r="J40" s="298"/>
      <c r="K40" s="298"/>
      <c r="L40" s="298"/>
      <c r="M40" s="57" t="s">
        <v>197</v>
      </c>
      <c r="N40" s="57"/>
      <c r="O40" s="57"/>
      <c r="P40" s="225"/>
      <c r="Q40" s="41"/>
      <c r="R40" s="41"/>
      <c r="S40" s="41"/>
      <c r="T40" s="41"/>
      <c r="U40" s="41"/>
      <c r="V40" s="41"/>
      <c r="W40" s="41"/>
      <c r="X40" s="41"/>
      <c r="Y40" s="41"/>
      <c r="Z40" s="41"/>
      <c r="AA40" s="41"/>
    </row>
    <row r="41" spans="1:27" s="47" customFormat="1" ht="15.75" customHeight="1" thickTop="1" thickBot="1">
      <c r="A41" s="64"/>
      <c r="B41" s="60" t="s">
        <v>196</v>
      </c>
      <c r="C41" s="60"/>
      <c r="D41" s="60"/>
      <c r="E41" s="60"/>
      <c r="F41" s="60"/>
      <c r="G41" s="60"/>
      <c r="H41" s="57"/>
      <c r="I41" s="298">
        <v>2.6</v>
      </c>
      <c r="J41" s="298"/>
      <c r="K41" s="298"/>
      <c r="L41" s="298"/>
      <c r="M41" s="57" t="s">
        <v>197</v>
      </c>
      <c r="N41" s="57"/>
      <c r="O41" s="57"/>
      <c r="P41" s="225"/>
      <c r="Q41" s="41"/>
      <c r="R41" s="41"/>
      <c r="S41" s="41"/>
      <c r="T41" s="41"/>
      <c r="U41" s="41"/>
      <c r="V41" s="41"/>
      <c r="W41" s="41"/>
      <c r="X41" s="41"/>
      <c r="Y41" s="41"/>
      <c r="Z41" s="41"/>
      <c r="AA41" s="41"/>
    </row>
    <row r="42" spans="1:27" s="47" customFormat="1" ht="15.75" customHeight="1" thickTop="1" thickBot="1">
      <c r="A42" s="64"/>
      <c r="B42" s="57" t="s">
        <v>199</v>
      </c>
      <c r="C42" s="60"/>
      <c r="D42" s="60"/>
      <c r="E42" s="60"/>
      <c r="F42" s="60"/>
      <c r="G42" s="57"/>
      <c r="H42" s="57"/>
      <c r="I42" s="298">
        <v>1.4</v>
      </c>
      <c r="J42" s="298"/>
      <c r="K42" s="298"/>
      <c r="L42" s="298"/>
      <c r="M42" s="57" t="s">
        <v>15</v>
      </c>
      <c r="N42" s="57"/>
      <c r="O42" s="57"/>
      <c r="P42" s="225"/>
      <c r="Q42" s="41"/>
      <c r="R42" s="41"/>
      <c r="S42" s="41"/>
      <c r="T42" s="41"/>
      <c r="U42" s="41"/>
      <c r="V42" s="41"/>
      <c r="W42" s="41"/>
      <c r="X42" s="41"/>
      <c r="Y42" s="41"/>
      <c r="Z42" s="41"/>
      <c r="AA42" s="41"/>
    </row>
    <row r="43" spans="1:27" s="47" customFormat="1" ht="15.75" customHeight="1" thickTop="1" thickBot="1">
      <c r="A43" s="64"/>
      <c r="B43" s="57" t="s">
        <v>198</v>
      </c>
      <c r="C43" s="60"/>
      <c r="D43" s="60"/>
      <c r="E43" s="60"/>
      <c r="F43" s="60"/>
      <c r="G43" s="57"/>
      <c r="H43" s="57"/>
      <c r="I43" s="298">
        <v>1.4</v>
      </c>
      <c r="J43" s="298"/>
      <c r="K43" s="298"/>
      <c r="L43" s="298"/>
      <c r="M43" s="57" t="s">
        <v>15</v>
      </c>
      <c r="N43" s="57"/>
      <c r="O43" s="57"/>
      <c r="P43" s="225"/>
      <c r="Q43" s="41"/>
      <c r="R43" s="222"/>
      <c r="S43" s="222" t="s">
        <v>631</v>
      </c>
      <c r="T43" s="41"/>
      <c r="U43" s="41"/>
      <c r="V43" s="41"/>
      <c r="W43" s="41"/>
      <c r="X43" s="41"/>
      <c r="Y43" s="41"/>
      <c r="Z43" s="41"/>
      <c r="AA43" s="41"/>
    </row>
    <row r="44" spans="1:27" s="47" customFormat="1" ht="15.75" customHeight="1" thickTop="1" thickBot="1">
      <c r="A44" s="64"/>
      <c r="B44" s="57" t="s">
        <v>200</v>
      </c>
      <c r="C44" s="60"/>
      <c r="D44" s="60"/>
      <c r="E44" s="60"/>
      <c r="F44" s="60"/>
      <c r="G44" s="57"/>
      <c r="H44" s="57"/>
      <c r="I44" s="298"/>
      <c r="J44" s="298"/>
      <c r="K44" s="298"/>
      <c r="L44" s="298"/>
      <c r="M44" s="57" t="s">
        <v>284</v>
      </c>
      <c r="N44" s="57"/>
      <c r="O44" s="57"/>
      <c r="P44" s="225"/>
      <c r="Q44" s="41"/>
      <c r="R44" s="222" t="s">
        <v>630</v>
      </c>
      <c r="S44" s="221">
        <f>'SP11-2'!Q38</f>
        <v>0</v>
      </c>
      <c r="T44" s="41"/>
      <c r="U44" s="41"/>
      <c r="V44" s="41"/>
      <c r="W44" s="41"/>
      <c r="X44" s="41"/>
      <c r="Y44" s="41"/>
      <c r="Z44" s="41"/>
      <c r="AA44" s="41"/>
    </row>
    <row r="45" spans="1:27" s="51" customFormat="1" ht="3.75" customHeight="1" thickTop="1" thickBot="1">
      <c r="A45" s="75"/>
      <c r="B45" s="62"/>
      <c r="C45" s="62"/>
      <c r="D45" s="62"/>
      <c r="E45" s="62"/>
      <c r="F45" s="62"/>
      <c r="G45" s="62"/>
      <c r="H45" s="62"/>
      <c r="I45" s="62"/>
      <c r="J45" s="62"/>
      <c r="K45" s="62"/>
      <c r="L45" s="62"/>
      <c r="M45" s="62"/>
      <c r="N45" s="62"/>
      <c r="O45" s="62"/>
      <c r="P45" s="226"/>
      <c r="Q45" s="63"/>
      <c r="R45" s="222"/>
      <c r="S45" s="221"/>
      <c r="T45" s="63"/>
      <c r="U45" s="63"/>
      <c r="V45" s="63"/>
      <c r="W45" s="63"/>
      <c r="X45" s="63"/>
      <c r="Y45" s="63"/>
      <c r="Z45" s="63"/>
      <c r="AA45" s="63"/>
    </row>
    <row r="46" spans="1:27" s="40" customFormat="1" ht="3.75" customHeight="1" thickTop="1">
      <c r="A46" s="58"/>
      <c r="B46" s="57"/>
      <c r="C46" s="57"/>
      <c r="D46" s="57"/>
      <c r="E46" s="57"/>
      <c r="F46" s="57"/>
      <c r="G46" s="57"/>
      <c r="H46" s="57"/>
      <c r="I46" s="57"/>
      <c r="J46" s="57"/>
      <c r="K46" s="57"/>
      <c r="L46" s="57"/>
      <c r="M46" s="57"/>
      <c r="N46" s="57"/>
      <c r="O46" s="57"/>
      <c r="P46" s="225"/>
      <c r="Q46" s="4"/>
      <c r="R46" s="222"/>
      <c r="S46" s="221"/>
      <c r="T46" s="4"/>
      <c r="U46" s="4"/>
      <c r="V46" s="4"/>
      <c r="W46" s="4"/>
      <c r="X46" s="4"/>
      <c r="Y46" s="4"/>
      <c r="Z46" s="4"/>
      <c r="AA46" s="4"/>
    </row>
    <row r="47" spans="1:27" s="47" customFormat="1" ht="15.75" customHeight="1">
      <c r="A47" s="64">
        <v>8</v>
      </c>
      <c r="B47" s="312" t="s">
        <v>272</v>
      </c>
      <c r="C47" s="312"/>
      <c r="D47" s="67"/>
      <c r="E47" s="67"/>
      <c r="F47" s="67"/>
      <c r="G47" s="60"/>
      <c r="H47" s="67"/>
      <c r="I47" s="67"/>
      <c r="J47" s="67"/>
      <c r="K47" s="67"/>
      <c r="L47" s="72" t="s">
        <v>16</v>
      </c>
      <c r="M47" s="313">
        <f>'SP11-2'!Q38</f>
        <v>0</v>
      </c>
      <c r="N47" s="313"/>
      <c r="O47" s="58" t="s">
        <v>17</v>
      </c>
      <c r="P47" s="228"/>
      <c r="Q47" s="41"/>
      <c r="R47" s="222" t="s">
        <v>632</v>
      </c>
      <c r="S47" s="221">
        <f>'SP11-3 (1)'!Q36</f>
        <v>528829.6</v>
      </c>
      <c r="T47" s="41"/>
      <c r="U47" s="41"/>
      <c r="V47" s="41"/>
      <c r="W47" s="41"/>
      <c r="X47" s="41"/>
      <c r="Y47" s="41"/>
      <c r="Z47" s="41"/>
      <c r="AA47" s="41"/>
    </row>
    <row r="48" spans="1:27" s="51" customFormat="1" ht="3.75" customHeight="1" thickBot="1">
      <c r="A48" s="75"/>
      <c r="B48" s="62"/>
      <c r="C48" s="62"/>
      <c r="D48" s="62"/>
      <c r="E48" s="62"/>
      <c r="F48" s="62"/>
      <c r="G48" s="62"/>
      <c r="H48" s="62"/>
      <c r="I48" s="62"/>
      <c r="J48" s="62"/>
      <c r="K48" s="62"/>
      <c r="L48" s="62"/>
      <c r="M48" s="62"/>
      <c r="N48" s="62"/>
      <c r="O48" s="62"/>
      <c r="P48" s="226"/>
      <c r="Q48" s="63"/>
      <c r="R48" s="222"/>
      <c r="S48" s="221"/>
      <c r="T48" s="63"/>
      <c r="U48" s="63"/>
      <c r="V48" s="63"/>
      <c r="W48" s="63"/>
      <c r="X48" s="63"/>
      <c r="Y48" s="63"/>
      <c r="Z48" s="63"/>
      <c r="AA48" s="63"/>
    </row>
    <row r="49" spans="1:27" s="40" customFormat="1" ht="3.75" customHeight="1" thickTop="1">
      <c r="A49" s="58"/>
      <c r="B49" s="57"/>
      <c r="C49" s="57"/>
      <c r="D49" s="57"/>
      <c r="E49" s="57"/>
      <c r="F49" s="57"/>
      <c r="G49" s="57"/>
      <c r="H49" s="57"/>
      <c r="I49" s="57"/>
      <c r="J49" s="57"/>
      <c r="K49" s="57"/>
      <c r="L49" s="57"/>
      <c r="M49" s="57"/>
      <c r="N49" s="57"/>
      <c r="O49" s="57"/>
      <c r="P49" s="225"/>
      <c r="Q49" s="4"/>
      <c r="R49" s="222"/>
      <c r="S49" s="221"/>
      <c r="T49" s="4"/>
      <c r="U49" s="4"/>
      <c r="V49" s="4"/>
      <c r="W49" s="4"/>
      <c r="X49" s="4"/>
      <c r="Y49" s="4"/>
      <c r="Z49" s="4"/>
      <c r="AA49" s="4"/>
    </row>
    <row r="50" spans="1:27" s="47" customFormat="1" ht="15.75" customHeight="1">
      <c r="A50" s="64">
        <v>9</v>
      </c>
      <c r="B50" s="312" t="s">
        <v>204</v>
      </c>
      <c r="C50" s="312"/>
      <c r="D50" s="312"/>
      <c r="E50" s="67"/>
      <c r="F50" s="67"/>
      <c r="G50" s="67"/>
      <c r="H50" s="67"/>
      <c r="I50" s="67"/>
      <c r="J50" s="67"/>
      <c r="K50" s="67"/>
      <c r="L50" s="72" t="s">
        <v>16</v>
      </c>
      <c r="M50" s="313">
        <f>'SP11-3 (1)'!Q36</f>
        <v>528829.6</v>
      </c>
      <c r="N50" s="313"/>
      <c r="O50" s="58" t="s">
        <v>208</v>
      </c>
      <c r="P50" s="228"/>
      <c r="Q50" s="41"/>
      <c r="R50" s="222" t="s">
        <v>633</v>
      </c>
      <c r="S50" s="221">
        <f>'SP11-3 (2)'!Q36</f>
        <v>580920.89444313035</v>
      </c>
      <c r="T50" s="41"/>
      <c r="U50" s="41"/>
      <c r="V50" s="41"/>
      <c r="W50" s="41"/>
      <c r="X50" s="41"/>
      <c r="Y50" s="41"/>
      <c r="Z50" s="41"/>
      <c r="AA50" s="41"/>
    </row>
    <row r="51" spans="1:27" s="51" customFormat="1" ht="3.75" customHeight="1" thickBot="1">
      <c r="A51" s="75"/>
      <c r="B51" s="62"/>
      <c r="C51" s="62"/>
      <c r="D51" s="62"/>
      <c r="E51" s="62"/>
      <c r="F51" s="62"/>
      <c r="G51" s="62"/>
      <c r="H51" s="62"/>
      <c r="I51" s="62"/>
      <c r="J51" s="62"/>
      <c r="K51" s="62"/>
      <c r="L51" s="62"/>
      <c r="M51" s="62"/>
      <c r="N51" s="62"/>
      <c r="O51" s="62"/>
      <c r="P51" s="226"/>
      <c r="Q51" s="63"/>
      <c r="R51" s="222"/>
      <c r="S51" s="221"/>
      <c r="T51" s="63"/>
      <c r="U51" s="63"/>
      <c r="V51" s="63"/>
      <c r="W51" s="63"/>
      <c r="X51" s="63"/>
      <c r="Y51" s="63"/>
      <c r="Z51" s="63"/>
      <c r="AA51" s="63"/>
    </row>
    <row r="52" spans="1:27" s="40" customFormat="1" ht="3.75" customHeight="1" thickTop="1">
      <c r="A52" s="58"/>
      <c r="B52" s="57"/>
      <c r="C52" s="57"/>
      <c r="D52" s="57"/>
      <c r="E52" s="57"/>
      <c r="F52" s="57"/>
      <c r="G52" s="57"/>
      <c r="H52" s="57"/>
      <c r="I52" s="57"/>
      <c r="J52" s="57"/>
      <c r="K52" s="57"/>
      <c r="L52" s="57"/>
      <c r="M52" s="57"/>
      <c r="N52" s="57"/>
      <c r="O52" s="57"/>
      <c r="P52" s="225"/>
      <c r="Q52" s="4"/>
      <c r="R52" s="222"/>
      <c r="S52" s="221"/>
      <c r="T52" s="4"/>
      <c r="U52" s="4"/>
      <c r="V52" s="4"/>
      <c r="W52" s="4"/>
      <c r="X52" s="4"/>
      <c r="Y52" s="4"/>
      <c r="Z52" s="4"/>
      <c r="AA52" s="4"/>
    </row>
    <row r="53" spans="1:27" s="47" customFormat="1" ht="15.75" customHeight="1">
      <c r="A53" s="64">
        <v>10</v>
      </c>
      <c r="B53" s="312" t="s">
        <v>273</v>
      </c>
      <c r="C53" s="312"/>
      <c r="D53" s="312"/>
      <c r="E53" s="312"/>
      <c r="F53" s="67"/>
      <c r="G53" s="67"/>
      <c r="H53" s="67"/>
      <c r="I53" s="67"/>
      <c r="J53" s="67"/>
      <c r="K53" s="67"/>
      <c r="L53" s="67"/>
      <c r="M53" s="67"/>
      <c r="N53" s="60"/>
      <c r="O53" s="66"/>
      <c r="P53" s="227"/>
      <c r="Q53" s="41"/>
      <c r="R53" s="222" t="s">
        <v>634</v>
      </c>
      <c r="S53" s="221">
        <f>'SP11-3 (3)'!Q36</f>
        <v>0</v>
      </c>
      <c r="T53" s="41"/>
      <c r="U53" s="41"/>
      <c r="V53" s="41"/>
      <c r="W53" s="41"/>
      <c r="X53" s="41"/>
      <c r="Y53" s="41"/>
      <c r="Z53" s="41"/>
      <c r="AA53" s="41"/>
    </row>
    <row r="54" spans="1:27" s="47" customFormat="1" ht="15.75" customHeight="1" thickBot="1">
      <c r="A54" s="59"/>
      <c r="B54" s="60" t="s">
        <v>274</v>
      </c>
      <c r="C54" s="60"/>
      <c r="D54" s="77" t="s">
        <v>16</v>
      </c>
      <c r="E54" s="294">
        <f>'SP11-4'!N33</f>
        <v>0</v>
      </c>
      <c r="F54" s="294"/>
      <c r="G54" s="66" t="s">
        <v>316</v>
      </c>
      <c r="H54" s="57"/>
      <c r="I54" s="57"/>
      <c r="J54" s="292"/>
      <c r="K54" s="292"/>
      <c r="L54" s="71" t="s">
        <v>18</v>
      </c>
      <c r="M54" s="293">
        <f>E54*J54</f>
        <v>0</v>
      </c>
      <c r="N54" s="293"/>
      <c r="O54" s="58" t="s">
        <v>201</v>
      </c>
      <c r="P54" s="228"/>
      <c r="Q54" s="41"/>
      <c r="R54" s="41"/>
      <c r="S54" s="41"/>
      <c r="T54" s="41"/>
      <c r="U54" s="41"/>
      <c r="V54" s="41"/>
      <c r="W54" s="41"/>
      <c r="X54" s="41"/>
      <c r="Y54" s="41"/>
      <c r="Z54" s="41"/>
      <c r="AA54" s="41"/>
    </row>
    <row r="55" spans="1:27" s="47" customFormat="1" ht="15.75" customHeight="1" thickTop="1" thickBot="1">
      <c r="A55" s="59"/>
      <c r="B55" s="60" t="s">
        <v>205</v>
      </c>
      <c r="C55" s="60"/>
      <c r="D55" s="77" t="s">
        <v>16</v>
      </c>
      <c r="E55" s="289">
        <f>J74</f>
        <v>1375794.1122231737</v>
      </c>
      <c r="F55" s="289"/>
      <c r="G55" s="66" t="s">
        <v>317</v>
      </c>
      <c r="H55" s="57"/>
      <c r="I55" s="57"/>
      <c r="J55" s="290">
        <v>1.1200000000000001</v>
      </c>
      <c r="K55" s="290"/>
      <c r="L55" s="71" t="s">
        <v>18</v>
      </c>
      <c r="M55" s="291">
        <f>E55*J55</f>
        <v>1540889.4056899548</v>
      </c>
      <c r="N55" s="291"/>
      <c r="O55" s="58" t="s">
        <v>19</v>
      </c>
      <c r="P55" s="228"/>
      <c r="Q55" s="41"/>
      <c r="R55" s="41"/>
      <c r="S55" s="41"/>
      <c r="T55" s="41"/>
      <c r="U55" s="41"/>
      <c r="V55" s="41"/>
      <c r="W55" s="41"/>
      <c r="X55" s="41"/>
      <c r="Y55" s="41"/>
      <c r="Z55" s="41"/>
      <c r="AA55" s="41"/>
    </row>
    <row r="56" spans="1:27" s="47" customFormat="1" ht="15.75" customHeight="1" thickTop="1" thickBot="1">
      <c r="A56" s="59"/>
      <c r="B56" s="60" t="s">
        <v>621</v>
      </c>
      <c r="C56" s="60"/>
      <c r="D56" s="77" t="s">
        <v>16</v>
      </c>
      <c r="E56" s="289">
        <f>C74</f>
        <v>49347.523442740589</v>
      </c>
      <c r="F56" s="289"/>
      <c r="G56" s="66" t="s">
        <v>318</v>
      </c>
      <c r="H56" s="57"/>
      <c r="I56" s="57"/>
      <c r="J56" s="290">
        <v>1.22</v>
      </c>
      <c r="K56" s="290"/>
      <c r="L56" s="71" t="s">
        <v>18</v>
      </c>
      <c r="M56" s="291">
        <f>E56*J56</f>
        <v>60203.978600143513</v>
      </c>
      <c r="N56" s="291"/>
      <c r="O56" s="58" t="s">
        <v>362</v>
      </c>
      <c r="P56" s="228"/>
      <c r="Q56" s="41"/>
      <c r="R56" s="41"/>
      <c r="S56" s="41"/>
      <c r="T56" s="41"/>
      <c r="U56" s="41"/>
      <c r="V56" s="41"/>
      <c r="W56" s="41"/>
      <c r="X56" s="41"/>
      <c r="Y56" s="41"/>
      <c r="Z56" s="41"/>
      <c r="AA56" s="41"/>
    </row>
    <row r="57" spans="1:27" s="51" customFormat="1" ht="3.75" customHeight="1" thickTop="1" thickBot="1">
      <c r="A57" s="75"/>
      <c r="B57" s="62"/>
      <c r="C57" s="62"/>
      <c r="D57" s="62"/>
      <c r="E57" s="62"/>
      <c r="F57" s="62"/>
      <c r="G57" s="62"/>
      <c r="H57" s="62"/>
      <c r="I57" s="62"/>
      <c r="J57" s="62"/>
      <c r="K57" s="62"/>
      <c r="L57" s="62"/>
      <c r="M57" s="62"/>
      <c r="N57" s="62"/>
      <c r="O57" s="62"/>
      <c r="P57" s="226"/>
      <c r="Q57" s="63"/>
      <c r="R57" s="63"/>
      <c r="S57" s="63"/>
      <c r="T57" s="63"/>
      <c r="U57" s="63"/>
      <c r="V57" s="63"/>
      <c r="W57" s="63"/>
      <c r="X57" s="63"/>
      <c r="Y57" s="63"/>
      <c r="Z57" s="63"/>
      <c r="AA57" s="63"/>
    </row>
    <row r="58" spans="1:27" s="40" customFormat="1" ht="3.75" customHeight="1" thickTop="1">
      <c r="A58" s="58"/>
      <c r="B58" s="57"/>
      <c r="C58" s="57"/>
      <c r="D58" s="57"/>
      <c r="E58" s="57"/>
      <c r="F58" s="57"/>
      <c r="G58" s="57"/>
      <c r="H58" s="57"/>
      <c r="I58" s="57"/>
      <c r="J58" s="57"/>
      <c r="K58" s="57"/>
      <c r="L58" s="57"/>
      <c r="M58" s="57"/>
      <c r="N58" s="57"/>
      <c r="O58" s="57"/>
      <c r="P58" s="225"/>
      <c r="Q58" s="4"/>
      <c r="R58" s="4"/>
      <c r="S58" s="4"/>
      <c r="T58" s="4"/>
      <c r="U58" s="4"/>
      <c r="V58" s="4"/>
      <c r="W58" s="4"/>
      <c r="X58" s="4"/>
      <c r="Y58" s="4"/>
      <c r="Z58" s="4"/>
      <c r="AA58" s="4"/>
    </row>
    <row r="59" spans="1:27" s="47" customFormat="1" ht="15.75" customHeight="1" thickBot="1">
      <c r="A59" s="302">
        <v>11</v>
      </c>
      <c r="B59" s="303" t="s">
        <v>319</v>
      </c>
      <c r="C59" s="304" t="s">
        <v>275</v>
      </c>
      <c r="D59" s="304"/>
      <c r="E59" s="305" t="s">
        <v>20</v>
      </c>
      <c r="F59" s="311" t="s">
        <v>206</v>
      </c>
      <c r="G59" s="311"/>
      <c r="H59" s="311"/>
      <c r="I59" s="302" t="s">
        <v>20</v>
      </c>
      <c r="J59" s="296">
        <f>M54+M56+M55</f>
        <v>1601093.3842900982</v>
      </c>
      <c r="K59" s="296"/>
      <c r="L59" s="297" t="s">
        <v>276</v>
      </c>
      <c r="M59" s="306">
        <f>IF(J60=0,,J59/J60)</f>
        <v>3.0276168056593242</v>
      </c>
      <c r="N59" s="306"/>
      <c r="O59" s="60"/>
      <c r="P59" s="134"/>
      <c r="Q59" s="41"/>
      <c r="R59" s="41"/>
      <c r="S59" s="41"/>
      <c r="T59" s="41"/>
      <c r="U59" s="41"/>
      <c r="V59" s="41"/>
      <c r="W59" s="41"/>
      <c r="X59" s="41"/>
      <c r="Y59" s="41"/>
      <c r="Z59" s="41"/>
      <c r="AA59" s="41"/>
    </row>
    <row r="60" spans="1:27" s="47" customFormat="1" ht="15.75" customHeight="1" thickTop="1">
      <c r="A60" s="302"/>
      <c r="B60" s="303"/>
      <c r="C60" s="308" t="s">
        <v>277</v>
      </c>
      <c r="D60" s="308"/>
      <c r="E60" s="305"/>
      <c r="F60" s="309" t="s">
        <v>207</v>
      </c>
      <c r="G60" s="309"/>
      <c r="H60" s="309"/>
      <c r="I60" s="302"/>
      <c r="J60" s="310">
        <f>M50-M47</f>
        <v>528829.6</v>
      </c>
      <c r="K60" s="310"/>
      <c r="L60" s="297"/>
      <c r="M60" s="307"/>
      <c r="N60" s="307"/>
      <c r="O60" s="78"/>
      <c r="P60" s="229"/>
      <c r="Q60" s="41"/>
      <c r="R60" s="41"/>
      <c r="S60" s="41"/>
      <c r="T60" s="41"/>
      <c r="U60" s="41"/>
      <c r="V60" s="41"/>
      <c r="W60" s="41"/>
      <c r="X60" s="41"/>
      <c r="Y60" s="41"/>
      <c r="Z60" s="41"/>
      <c r="AA60" s="41"/>
    </row>
    <row r="61" spans="1:27" s="38" customFormat="1" ht="3" customHeight="1">
      <c r="A61" s="59"/>
      <c r="B61" s="60"/>
      <c r="C61" s="60"/>
      <c r="D61" s="60"/>
      <c r="E61" s="60"/>
      <c r="F61" s="60"/>
      <c r="G61" s="60"/>
      <c r="H61" s="60"/>
      <c r="I61" s="60"/>
      <c r="J61" s="60"/>
      <c r="K61" s="60"/>
      <c r="L61" s="60"/>
      <c r="M61" s="60"/>
      <c r="N61" s="60"/>
      <c r="O61" s="60"/>
      <c r="P61" s="134"/>
      <c r="Q61" s="41"/>
      <c r="R61" s="41"/>
      <c r="S61" s="41"/>
      <c r="T61" s="41"/>
      <c r="U61" s="41"/>
      <c r="V61" s="41"/>
      <c r="W61" s="41"/>
      <c r="X61" s="41"/>
      <c r="Y61" s="41"/>
      <c r="Z61" s="41"/>
      <c r="AA61" s="41"/>
    </row>
    <row r="62" spans="1:27" s="38" customFormat="1">
      <c r="A62" s="54"/>
      <c r="B62" s="41"/>
      <c r="C62" s="41"/>
      <c r="D62" s="41"/>
      <c r="E62" s="41"/>
      <c r="F62" s="41"/>
      <c r="G62" s="41"/>
      <c r="H62" s="41"/>
      <c r="I62" s="41"/>
      <c r="J62" s="41"/>
      <c r="K62" s="41"/>
      <c r="L62" s="41"/>
      <c r="M62" s="41"/>
      <c r="N62" s="41"/>
      <c r="O62" s="41"/>
      <c r="P62" s="134"/>
      <c r="Q62" s="41"/>
      <c r="R62" s="41"/>
      <c r="S62" s="41"/>
      <c r="T62" s="41"/>
      <c r="U62" s="41"/>
      <c r="V62" s="41"/>
      <c r="W62" s="41"/>
      <c r="X62" s="41"/>
      <c r="Y62" s="41"/>
      <c r="Z62" s="41"/>
      <c r="AA62" s="41"/>
    </row>
    <row r="63" spans="1:27" s="38" customFormat="1">
      <c r="A63" s="54"/>
      <c r="B63" s="41"/>
      <c r="C63" s="41"/>
      <c r="D63" s="41"/>
      <c r="E63" s="41"/>
      <c r="F63" s="41"/>
      <c r="G63" s="41"/>
      <c r="H63" s="41"/>
      <c r="I63" s="41"/>
      <c r="J63" s="41"/>
      <c r="K63" s="41"/>
      <c r="L63" s="41"/>
      <c r="M63" s="41"/>
      <c r="N63" s="41"/>
      <c r="O63" s="41"/>
      <c r="P63" s="134"/>
      <c r="Q63" s="41"/>
      <c r="R63" s="41"/>
      <c r="S63" s="41"/>
      <c r="T63" s="41"/>
      <c r="U63" s="41"/>
      <c r="V63" s="41"/>
      <c r="W63" s="41"/>
      <c r="X63" s="41"/>
      <c r="Y63" s="41"/>
      <c r="Z63" s="41"/>
      <c r="AA63" s="41"/>
    </row>
    <row r="64" spans="1:27" s="38" customFormat="1">
      <c r="A64" s="54"/>
      <c r="B64" s="41"/>
      <c r="C64" s="41"/>
      <c r="D64" s="41"/>
      <c r="E64" s="41"/>
      <c r="F64" s="41"/>
      <c r="G64" s="41"/>
      <c r="H64" s="41"/>
      <c r="I64" s="41"/>
      <c r="J64" s="41"/>
      <c r="K64" s="41"/>
      <c r="L64" s="41"/>
      <c r="M64" s="41"/>
      <c r="N64" s="41"/>
      <c r="O64" s="41"/>
      <c r="P64" s="134"/>
      <c r="Q64" s="41"/>
      <c r="R64" s="41"/>
      <c r="S64" s="41"/>
      <c r="T64" s="41"/>
      <c r="U64" s="41"/>
      <c r="V64" s="41"/>
      <c r="W64" s="41"/>
      <c r="X64" s="41"/>
      <c r="Y64" s="41"/>
      <c r="Z64" s="41"/>
      <c r="AA64" s="41"/>
    </row>
    <row r="65" spans="1:27" s="38" customFormat="1">
      <c r="A65" s="54"/>
      <c r="B65" s="41"/>
      <c r="C65" s="41"/>
      <c r="D65" s="41"/>
      <c r="E65" s="41"/>
      <c r="F65" s="41"/>
      <c r="G65" s="41"/>
      <c r="H65" s="41"/>
      <c r="I65" s="41"/>
      <c r="J65" s="41"/>
      <c r="K65" s="41"/>
      <c r="L65" s="41"/>
      <c r="M65" s="41"/>
      <c r="N65" s="41"/>
      <c r="O65" s="41"/>
      <c r="P65" s="134"/>
      <c r="Q65" s="41"/>
      <c r="R65" s="41"/>
      <c r="S65" s="41"/>
      <c r="T65" s="41"/>
      <c r="U65" s="41"/>
      <c r="V65" s="41"/>
      <c r="W65" s="41"/>
      <c r="X65" s="41"/>
      <c r="Y65" s="41"/>
      <c r="Z65" s="41"/>
      <c r="AA65" s="41"/>
    </row>
    <row r="66" spans="1:27">
      <c r="A66" s="79"/>
      <c r="B66" s="80"/>
      <c r="C66" s="80"/>
      <c r="D66" s="80"/>
      <c r="E66" s="80"/>
      <c r="F66" s="80"/>
      <c r="G66" s="80"/>
      <c r="H66" s="80"/>
      <c r="I66" s="80"/>
      <c r="J66" s="80"/>
      <c r="K66" s="80"/>
      <c r="L66" s="80"/>
      <c r="M66" s="80"/>
      <c r="N66" s="80"/>
      <c r="O66" s="80"/>
      <c r="P66" s="230"/>
      <c r="Q66" s="80"/>
      <c r="R66" s="80"/>
      <c r="S66" s="80"/>
      <c r="T66" s="80"/>
      <c r="U66" s="80"/>
      <c r="V66" s="80"/>
      <c r="W66" s="80"/>
      <c r="X66" s="80"/>
      <c r="Y66" s="80"/>
      <c r="Z66" s="80"/>
      <c r="AA66" s="80"/>
    </row>
    <row r="67" spans="1:27">
      <c r="A67" s="79"/>
      <c r="B67" s="80"/>
      <c r="C67" s="80"/>
      <c r="D67" s="80"/>
      <c r="E67" s="80"/>
      <c r="F67" s="80"/>
      <c r="G67" s="80"/>
      <c r="H67" s="80"/>
      <c r="I67" s="80"/>
      <c r="J67" s="80"/>
      <c r="K67" s="80"/>
      <c r="L67" s="80"/>
      <c r="M67" s="80"/>
      <c r="N67" s="80"/>
      <c r="O67" s="80"/>
      <c r="P67" s="230"/>
      <c r="Q67" s="80"/>
      <c r="R67" s="80"/>
      <c r="S67" s="80"/>
      <c r="T67" s="80"/>
      <c r="U67" s="80"/>
      <c r="V67" s="80"/>
      <c r="W67" s="80"/>
      <c r="X67" s="80"/>
      <c r="Y67" s="80"/>
      <c r="Z67" s="80"/>
      <c r="AA67" s="80"/>
    </row>
    <row r="68" spans="1:27">
      <c r="A68" s="79"/>
      <c r="B68" s="80"/>
      <c r="C68" s="80"/>
      <c r="D68" s="80"/>
      <c r="E68" s="80"/>
      <c r="F68" s="80"/>
      <c r="G68" s="80"/>
      <c r="H68" s="80"/>
      <c r="I68" s="80"/>
      <c r="J68" s="80"/>
      <c r="K68" s="80"/>
      <c r="L68" s="80"/>
      <c r="M68" s="80"/>
      <c r="N68" s="80"/>
      <c r="O68" s="80"/>
      <c r="P68" s="230"/>
      <c r="Q68" s="80"/>
      <c r="R68" s="80"/>
      <c r="S68" s="80"/>
      <c r="T68" s="80"/>
      <c r="U68" s="80"/>
      <c r="V68" s="80"/>
      <c r="W68" s="80"/>
      <c r="X68" s="80"/>
      <c r="Y68" s="80"/>
      <c r="Z68" s="80"/>
      <c r="AA68" s="80"/>
    </row>
    <row r="69" spans="1:27" ht="13.5" customHeight="1">
      <c r="A69" s="79"/>
      <c r="B69" s="80"/>
      <c r="C69" s="80"/>
      <c r="D69" s="80"/>
      <c r="E69" s="80"/>
      <c r="F69" s="80"/>
      <c r="G69" s="80"/>
      <c r="H69" s="80"/>
      <c r="I69" s="80"/>
      <c r="J69" s="80"/>
      <c r="K69" s="80"/>
      <c r="L69" s="80"/>
      <c r="M69" s="80"/>
      <c r="N69" s="80"/>
      <c r="O69" s="80"/>
      <c r="P69" s="230"/>
      <c r="Q69" s="80"/>
      <c r="R69" s="80"/>
      <c r="S69" s="80"/>
      <c r="T69" s="80"/>
      <c r="U69" s="80"/>
      <c r="V69" s="80"/>
      <c r="W69" s="80"/>
      <c r="X69" s="80"/>
      <c r="Y69" s="80"/>
      <c r="Z69" s="80"/>
      <c r="AA69" s="80"/>
    </row>
    <row r="70" spans="1:27" hidden="1">
      <c r="A70" s="79">
        <v>2009</v>
      </c>
      <c r="B70" s="80"/>
      <c r="C70" s="80" t="s">
        <v>222</v>
      </c>
      <c r="D70" s="80"/>
      <c r="E70" s="80"/>
      <c r="F70" s="80"/>
      <c r="G70" s="80"/>
      <c r="H70" s="80" t="s">
        <v>240</v>
      </c>
      <c r="I70" s="80"/>
      <c r="J70" s="80"/>
      <c r="K70" s="80"/>
      <c r="L70" s="80"/>
      <c r="M70" s="80"/>
      <c r="N70" s="80"/>
      <c r="O70" s="80"/>
      <c r="P70" s="230"/>
      <c r="Q70" s="80"/>
      <c r="R70" s="80"/>
      <c r="S70" s="80"/>
      <c r="T70" s="80"/>
      <c r="U70" s="80"/>
      <c r="V70" s="80"/>
      <c r="W70" s="80"/>
      <c r="X70" s="80"/>
      <c r="Y70" s="80"/>
      <c r="Z70" s="80"/>
      <c r="AA70" s="80"/>
    </row>
    <row r="71" spans="1:27" hidden="1">
      <c r="A71" s="79">
        <v>2010</v>
      </c>
      <c r="B71" s="80"/>
      <c r="C71" s="81">
        <f>'SP11-5'!I33</f>
        <v>49347.523442740589</v>
      </c>
      <c r="D71" s="80"/>
      <c r="E71" s="80"/>
      <c r="F71" s="80"/>
      <c r="G71" s="80"/>
      <c r="H71" s="81">
        <f>'SP11-5'!I11</f>
        <v>1001791.8292887188</v>
      </c>
      <c r="I71" s="80"/>
      <c r="J71" s="80"/>
      <c r="K71" s="80"/>
      <c r="L71" s="80"/>
      <c r="M71" s="80"/>
      <c r="N71" s="80"/>
      <c r="O71" s="80"/>
      <c r="P71" s="230"/>
      <c r="Q71" s="80"/>
      <c r="R71" s="80"/>
      <c r="S71" s="80"/>
      <c r="T71" s="80"/>
      <c r="U71" s="80"/>
      <c r="V71" s="80"/>
      <c r="W71" s="80"/>
      <c r="X71" s="80"/>
      <c r="Y71" s="80"/>
      <c r="Z71" s="80"/>
      <c r="AA71" s="80"/>
    </row>
    <row r="72" spans="1:27" hidden="1">
      <c r="A72" s="79">
        <v>2011</v>
      </c>
      <c r="B72" s="80" t="s">
        <v>190</v>
      </c>
      <c r="C72" s="81">
        <f>'SP11-5'!I37</f>
        <v>0</v>
      </c>
      <c r="D72" s="80"/>
      <c r="E72" s="80"/>
      <c r="F72" s="80"/>
      <c r="G72" s="80"/>
      <c r="H72" s="81">
        <f>'SP11-5'!I16</f>
        <v>0</v>
      </c>
      <c r="I72" s="80">
        <f>IF(H71&gt;H72,H71,H72)</f>
        <v>1001791.8292887188</v>
      </c>
      <c r="J72" s="80"/>
      <c r="K72" s="80"/>
      <c r="L72" s="80"/>
      <c r="M72" s="80"/>
      <c r="N72" s="80"/>
      <c r="O72" s="80"/>
      <c r="P72" s="230"/>
      <c r="Q72" s="80"/>
      <c r="R72" s="80"/>
      <c r="S72" s="80"/>
      <c r="T72" s="80"/>
      <c r="U72" s="80"/>
      <c r="V72" s="80"/>
      <c r="W72" s="80"/>
      <c r="X72" s="80"/>
      <c r="Y72" s="80"/>
      <c r="Z72" s="80"/>
      <c r="AA72" s="80"/>
    </row>
    <row r="73" spans="1:27" hidden="1">
      <c r="A73" s="79">
        <v>2012</v>
      </c>
      <c r="B73" s="80" t="s">
        <v>191</v>
      </c>
      <c r="C73" s="81">
        <f>'SP11-6'!J40</f>
        <v>0</v>
      </c>
      <c r="D73" s="80"/>
      <c r="E73" s="80"/>
      <c r="F73" s="80"/>
      <c r="G73" s="80"/>
      <c r="H73" s="81">
        <f>'SP11-5'!I23</f>
        <v>374002.28293445491</v>
      </c>
      <c r="I73" s="80"/>
      <c r="J73" s="80"/>
      <c r="K73" s="80"/>
      <c r="L73" s="80"/>
      <c r="M73" s="80"/>
      <c r="N73" s="80"/>
      <c r="O73" s="80"/>
      <c r="P73" s="230"/>
      <c r="Q73" s="80"/>
      <c r="R73" s="80"/>
      <c r="S73" s="80"/>
      <c r="T73" s="80"/>
      <c r="U73" s="80"/>
      <c r="V73" s="80"/>
      <c r="W73" s="80"/>
      <c r="X73" s="80"/>
      <c r="Y73" s="80"/>
      <c r="Z73" s="80"/>
      <c r="AA73" s="80"/>
    </row>
    <row r="74" spans="1:27" hidden="1">
      <c r="A74" s="79">
        <v>2013</v>
      </c>
      <c r="B74" s="80"/>
      <c r="C74" s="80">
        <f>IF(C71&gt;C72,IF(C71&gt;C73,C71,C73),IF(C72&gt;C73,C72,C73))</f>
        <v>49347.523442740589</v>
      </c>
      <c r="D74" s="80"/>
      <c r="E74" s="80"/>
      <c r="F74" s="80"/>
      <c r="G74" s="80"/>
      <c r="H74" s="81">
        <f>'SP11-5'!I27</f>
        <v>0</v>
      </c>
      <c r="I74" s="80">
        <f>IF(H73&gt;H74,H73,H74)</f>
        <v>374002.28293445491</v>
      </c>
      <c r="J74" s="79">
        <f>I72+I74</f>
        <v>1375794.1122231737</v>
      </c>
      <c r="K74" s="80"/>
      <c r="L74" s="80"/>
      <c r="M74" s="80"/>
      <c r="N74" s="80"/>
      <c r="O74" s="80"/>
      <c r="P74" s="230"/>
      <c r="Q74" s="80"/>
      <c r="R74" s="80"/>
      <c r="S74" s="80"/>
      <c r="T74" s="80"/>
      <c r="U74" s="80"/>
      <c r="V74" s="80"/>
      <c r="W74" s="80"/>
      <c r="X74" s="80"/>
      <c r="Y74" s="80"/>
      <c r="Z74" s="80"/>
      <c r="AA74" s="80"/>
    </row>
    <row r="75" spans="1:27" hidden="1">
      <c r="A75" s="79">
        <v>2014</v>
      </c>
      <c r="B75" s="80">
        <v>2006</v>
      </c>
      <c r="C75" s="80"/>
      <c r="D75" s="80"/>
      <c r="E75" s="80"/>
      <c r="F75" s="80"/>
      <c r="G75" s="80"/>
      <c r="H75" s="80"/>
      <c r="I75" s="80"/>
      <c r="J75" s="80"/>
      <c r="K75" s="80"/>
      <c r="L75" s="80"/>
      <c r="M75" s="80"/>
      <c r="N75" s="80"/>
      <c r="O75" s="80"/>
      <c r="P75" s="230"/>
      <c r="Q75" s="80"/>
      <c r="R75" s="80"/>
      <c r="S75" s="80"/>
      <c r="T75" s="80"/>
      <c r="U75" s="80"/>
      <c r="V75" s="80"/>
      <c r="W75" s="80"/>
      <c r="X75" s="80"/>
      <c r="Y75" s="80"/>
      <c r="Z75" s="80"/>
      <c r="AA75" s="80"/>
    </row>
    <row r="76" spans="1:27" hidden="1">
      <c r="A76" s="79">
        <v>2015</v>
      </c>
      <c r="B76" s="80">
        <v>2007</v>
      </c>
      <c r="C76" s="80"/>
      <c r="D76" s="80"/>
      <c r="E76" s="80"/>
      <c r="F76" s="80"/>
      <c r="G76" s="80"/>
      <c r="H76" s="80"/>
      <c r="I76" s="80"/>
      <c r="J76" s="80"/>
      <c r="K76" s="80"/>
      <c r="L76" s="80"/>
      <c r="M76" s="80"/>
      <c r="N76" s="80"/>
      <c r="O76" s="80"/>
      <c r="P76" s="230"/>
      <c r="Q76" s="80"/>
      <c r="R76" s="80"/>
      <c r="S76" s="80"/>
      <c r="T76" s="80"/>
      <c r="U76" s="80"/>
      <c r="V76" s="80"/>
      <c r="W76" s="80"/>
      <c r="X76" s="80"/>
      <c r="Y76" s="80"/>
      <c r="Z76" s="80"/>
      <c r="AA76" s="80"/>
    </row>
    <row r="77" spans="1:27" hidden="1">
      <c r="A77" s="79">
        <v>2016</v>
      </c>
      <c r="B77" s="80">
        <v>2008</v>
      </c>
      <c r="C77" s="80"/>
      <c r="D77" s="80"/>
      <c r="E77" s="80"/>
      <c r="F77" s="80"/>
      <c r="G77" s="80"/>
      <c r="H77" s="80"/>
      <c r="I77" s="80"/>
      <c r="J77" s="80"/>
      <c r="K77" s="80"/>
      <c r="L77" s="80"/>
      <c r="M77" s="80"/>
      <c r="N77" s="80"/>
      <c r="O77" s="80"/>
      <c r="P77" s="230"/>
      <c r="Q77" s="80"/>
      <c r="R77" s="80"/>
      <c r="S77" s="80"/>
      <c r="T77" s="80"/>
      <c r="U77" s="80"/>
      <c r="V77" s="80"/>
      <c r="W77" s="80"/>
      <c r="X77" s="80"/>
      <c r="Y77" s="80"/>
      <c r="Z77" s="80"/>
      <c r="AA77" s="80"/>
    </row>
    <row r="78" spans="1:27" hidden="1">
      <c r="A78" s="79">
        <v>2017</v>
      </c>
      <c r="B78" s="80">
        <v>2009</v>
      </c>
      <c r="C78" s="80"/>
      <c r="D78" s="80"/>
      <c r="E78" s="80"/>
      <c r="F78" s="80"/>
      <c r="G78" s="80"/>
      <c r="H78" s="80"/>
      <c r="I78" s="80"/>
      <c r="J78" s="80"/>
      <c r="K78" s="80"/>
      <c r="L78" s="80"/>
      <c r="M78" s="80"/>
      <c r="N78" s="80"/>
      <c r="O78" s="80"/>
      <c r="P78" s="230"/>
      <c r="Q78" s="80"/>
      <c r="R78" s="80"/>
      <c r="S78" s="80"/>
      <c r="T78" s="80"/>
      <c r="U78" s="80"/>
      <c r="V78" s="80"/>
      <c r="W78" s="80"/>
      <c r="X78" s="80"/>
      <c r="Y78" s="80"/>
      <c r="Z78" s="80"/>
      <c r="AA78" s="80"/>
    </row>
    <row r="79" spans="1:27" hidden="1">
      <c r="A79" s="79">
        <v>2018</v>
      </c>
      <c r="B79" s="80">
        <v>2010</v>
      </c>
      <c r="C79" s="80"/>
      <c r="D79" s="80"/>
      <c r="E79" s="80"/>
      <c r="F79" s="80"/>
      <c r="G79" s="80"/>
      <c r="H79" s="80"/>
      <c r="I79" s="80"/>
      <c r="J79" s="80"/>
      <c r="K79" s="80"/>
      <c r="L79" s="80"/>
      <c r="M79" s="80"/>
      <c r="N79" s="80"/>
      <c r="O79" s="80"/>
      <c r="P79" s="230"/>
      <c r="Q79" s="80"/>
      <c r="R79" s="80"/>
      <c r="S79" s="80"/>
      <c r="T79" s="80"/>
      <c r="U79" s="80"/>
      <c r="V79" s="80"/>
      <c r="W79" s="80"/>
      <c r="X79" s="80"/>
      <c r="Y79" s="80"/>
      <c r="Z79" s="80"/>
      <c r="AA79" s="80"/>
    </row>
    <row r="80" spans="1:27" hidden="1">
      <c r="A80" s="79">
        <v>2019</v>
      </c>
      <c r="B80" s="80">
        <v>2011</v>
      </c>
      <c r="C80" s="80"/>
      <c r="D80" s="80"/>
      <c r="E80" s="80"/>
      <c r="F80" s="80"/>
      <c r="G80" s="80"/>
      <c r="H80" s="80"/>
      <c r="I80" s="80"/>
      <c r="J80" s="80"/>
      <c r="K80" s="80"/>
      <c r="L80" s="80"/>
      <c r="M80" s="80"/>
      <c r="N80" s="80"/>
      <c r="O80" s="80"/>
      <c r="P80" s="230"/>
      <c r="Q80" s="80"/>
      <c r="R80" s="80"/>
      <c r="S80" s="80"/>
      <c r="T80" s="80"/>
      <c r="U80" s="80"/>
      <c r="V80" s="80"/>
      <c r="W80" s="80"/>
      <c r="X80" s="80"/>
      <c r="Y80" s="80"/>
      <c r="Z80" s="80"/>
      <c r="AA80" s="80"/>
    </row>
    <row r="81" spans="1:27" hidden="1">
      <c r="A81" s="79">
        <v>2020</v>
      </c>
      <c r="B81" s="80">
        <v>2012</v>
      </c>
      <c r="C81" s="80"/>
      <c r="D81" s="80"/>
      <c r="E81" s="80"/>
      <c r="F81" s="80"/>
      <c r="G81" s="80"/>
      <c r="H81" s="80"/>
      <c r="I81" s="80"/>
      <c r="J81" s="80"/>
      <c r="K81" s="80"/>
      <c r="L81" s="80"/>
      <c r="M81" s="80"/>
      <c r="N81" s="80"/>
      <c r="O81" s="80"/>
      <c r="P81" s="230"/>
      <c r="Q81" s="80"/>
      <c r="R81" s="80"/>
      <c r="S81" s="80"/>
      <c r="T81" s="80"/>
      <c r="U81" s="80"/>
      <c r="V81" s="80"/>
      <c r="W81" s="80"/>
      <c r="X81" s="80"/>
      <c r="Y81" s="80"/>
      <c r="Z81" s="80"/>
      <c r="AA81" s="80"/>
    </row>
    <row r="82" spans="1:27" hidden="1">
      <c r="A82" s="79">
        <v>2021</v>
      </c>
      <c r="B82" s="80">
        <v>2013</v>
      </c>
      <c r="C82" s="80"/>
      <c r="D82" s="80"/>
      <c r="E82" s="80"/>
      <c r="F82" s="80"/>
      <c r="G82" s="80"/>
      <c r="H82" s="80"/>
      <c r="I82" s="80"/>
      <c r="J82" s="80"/>
      <c r="K82" s="80"/>
      <c r="L82" s="80"/>
      <c r="M82" s="80"/>
      <c r="N82" s="80"/>
      <c r="O82" s="80"/>
      <c r="P82" s="230"/>
      <c r="Q82" s="80"/>
      <c r="R82" s="80"/>
      <c r="S82" s="80"/>
      <c r="T82" s="80"/>
      <c r="U82" s="80"/>
      <c r="V82" s="80"/>
      <c r="W82" s="80"/>
      <c r="X82" s="80"/>
      <c r="Y82" s="80"/>
      <c r="Z82" s="80"/>
      <c r="AA82" s="80"/>
    </row>
    <row r="83" spans="1:27" hidden="1">
      <c r="A83" s="2">
        <v>2022</v>
      </c>
      <c r="B83" s="1">
        <v>2014</v>
      </c>
    </row>
    <row r="84" spans="1:27" hidden="1">
      <c r="A84" s="2">
        <v>2023</v>
      </c>
      <c r="B84" s="1">
        <v>2015</v>
      </c>
    </row>
    <row r="85" spans="1:27" hidden="1">
      <c r="A85" s="2">
        <v>2024</v>
      </c>
      <c r="B85" s="1">
        <v>2016</v>
      </c>
    </row>
    <row r="86" spans="1:27" hidden="1">
      <c r="A86" s="2">
        <v>2025</v>
      </c>
      <c r="B86" s="1">
        <v>2017</v>
      </c>
    </row>
    <row r="87" spans="1:27" hidden="1">
      <c r="A87" s="2">
        <v>2026</v>
      </c>
      <c r="B87" s="1">
        <v>2018</v>
      </c>
    </row>
    <row r="88" spans="1:27" hidden="1">
      <c r="A88" s="2">
        <v>2027</v>
      </c>
      <c r="B88" s="1">
        <v>2019</v>
      </c>
    </row>
    <row r="89" spans="1:27" hidden="1">
      <c r="A89" s="2">
        <v>2028</v>
      </c>
      <c r="B89" s="1">
        <v>2020</v>
      </c>
    </row>
    <row r="90" spans="1:27" hidden="1">
      <c r="A90" s="2">
        <v>2029</v>
      </c>
      <c r="B90" s="1">
        <v>2021</v>
      </c>
    </row>
    <row r="91" spans="1:27" hidden="1">
      <c r="A91" s="2">
        <v>2030</v>
      </c>
      <c r="B91" s="1">
        <v>2022</v>
      </c>
    </row>
    <row r="92" spans="1:27" hidden="1">
      <c r="A92" s="2">
        <v>2031</v>
      </c>
      <c r="B92" s="1">
        <v>2023</v>
      </c>
    </row>
    <row r="93" spans="1:27" hidden="1">
      <c r="A93" s="2">
        <v>2032</v>
      </c>
      <c r="B93" s="1">
        <v>2024</v>
      </c>
    </row>
    <row r="94" spans="1:27" hidden="1">
      <c r="A94" s="2">
        <v>2033</v>
      </c>
      <c r="B94" s="1">
        <v>2025</v>
      </c>
    </row>
    <row r="95" spans="1:27" hidden="1">
      <c r="A95" s="2">
        <v>2034</v>
      </c>
      <c r="B95" s="1">
        <v>2026</v>
      </c>
    </row>
    <row r="96" spans="1:27" hidden="1">
      <c r="A96" s="2">
        <v>2035</v>
      </c>
      <c r="B96" s="1">
        <v>2027</v>
      </c>
    </row>
    <row r="97" spans="1:2" hidden="1">
      <c r="A97" s="2">
        <v>2036</v>
      </c>
      <c r="B97" s="1">
        <v>2028</v>
      </c>
    </row>
    <row r="98" spans="1:2" hidden="1">
      <c r="A98" s="2">
        <v>2037</v>
      </c>
      <c r="B98" s="1">
        <v>2029</v>
      </c>
    </row>
    <row r="99" spans="1:2" hidden="1">
      <c r="A99" s="2">
        <v>2038</v>
      </c>
      <c r="B99" s="1">
        <v>2030</v>
      </c>
    </row>
    <row r="100" spans="1:2" hidden="1">
      <c r="A100" s="2">
        <v>2039</v>
      </c>
      <c r="B100" s="1">
        <v>2031</v>
      </c>
    </row>
    <row r="101" spans="1:2" hidden="1">
      <c r="B101" s="1">
        <v>2032</v>
      </c>
    </row>
    <row r="102" spans="1:2" hidden="1">
      <c r="B102" s="1">
        <v>2033</v>
      </c>
    </row>
    <row r="103" spans="1:2" hidden="1">
      <c r="B103" s="1">
        <v>2034</v>
      </c>
    </row>
    <row r="104" spans="1:2" hidden="1">
      <c r="B104" s="1">
        <v>2035</v>
      </c>
    </row>
    <row r="105" spans="1:2" hidden="1">
      <c r="B105" s="1">
        <v>2036</v>
      </c>
    </row>
  </sheetData>
  <sheetProtection password="C5CB" sheet="1" selectLockedCells="1"/>
  <protectedRanges>
    <protectedRange sqref="E54:F56" name="Range15_1"/>
    <protectedRange sqref="M35:N35 J54:K56" name="Range14_1"/>
    <protectedRange sqref="M50 M47:N47" name="Range13"/>
    <protectedRange sqref="M50 M47:N47" name="Range12"/>
    <protectedRange sqref="C7:N8" name="Range1_1"/>
    <protectedRange sqref="E11:N15" name="Range2_1"/>
    <protectedRange sqref="E18:N18" name="Range3_1"/>
    <protectedRange sqref="E21:N22" name="Range5_1_1"/>
  </protectedRanges>
  <mergeCells count="58">
    <mergeCell ref="C7:N7"/>
    <mergeCell ref="I32:L32"/>
    <mergeCell ref="I26:N26"/>
    <mergeCell ref="I27:N27"/>
    <mergeCell ref="C8:N8"/>
    <mergeCell ref="B10:C10"/>
    <mergeCell ref="E11:N11"/>
    <mergeCell ref="E12:N12"/>
    <mergeCell ref="E13:N13"/>
    <mergeCell ref="E14:N14"/>
    <mergeCell ref="B20:C20"/>
    <mergeCell ref="E21:N21"/>
    <mergeCell ref="E22:N22"/>
    <mergeCell ref="I25:N25"/>
    <mergeCell ref="B34:D34"/>
    <mergeCell ref="B29:C29"/>
    <mergeCell ref="E15:N15"/>
    <mergeCell ref="I36:L36"/>
    <mergeCell ref="I37:L37"/>
    <mergeCell ref="E18:N18"/>
    <mergeCell ref="I39:L39"/>
    <mergeCell ref="M35:N35"/>
    <mergeCell ref="I35:J35"/>
    <mergeCell ref="A59:A60"/>
    <mergeCell ref="B59:B60"/>
    <mergeCell ref="C59:D59"/>
    <mergeCell ref="E59:E60"/>
    <mergeCell ref="M59:N60"/>
    <mergeCell ref="C60:D60"/>
    <mergeCell ref="F60:H60"/>
    <mergeCell ref="J60:K60"/>
    <mergeCell ref="F59:H59"/>
    <mergeCell ref="I59:I60"/>
    <mergeCell ref="B4:O4"/>
    <mergeCell ref="J59:K59"/>
    <mergeCell ref="L59:L60"/>
    <mergeCell ref="I44:L44"/>
    <mergeCell ref="I40:L40"/>
    <mergeCell ref="I41:L41"/>
    <mergeCell ref="I42:L42"/>
    <mergeCell ref="I43:L43"/>
    <mergeCell ref="I30:N30"/>
    <mergeCell ref="I31:N31"/>
    <mergeCell ref="B53:E53"/>
    <mergeCell ref="I38:L38"/>
    <mergeCell ref="B47:C47"/>
    <mergeCell ref="M47:N47"/>
    <mergeCell ref="M50:N50"/>
    <mergeCell ref="B50:D50"/>
    <mergeCell ref="E56:F56"/>
    <mergeCell ref="J56:K56"/>
    <mergeCell ref="M56:N56"/>
    <mergeCell ref="J54:K54"/>
    <mergeCell ref="M54:N54"/>
    <mergeCell ref="J55:K55"/>
    <mergeCell ref="M55:N55"/>
    <mergeCell ref="E55:F55"/>
    <mergeCell ref="E54:F54"/>
  </mergeCells>
  <phoneticPr fontId="8" type="noConversion"/>
  <dataValidations xWindow="743" yWindow="332" count="3">
    <dataValidation type="list" allowBlank="1" showInputMessage="1" showErrorMessage="1" sqref="I32:L32">
      <formula1>$B$72:$B$73</formula1>
    </dataValidation>
    <dataValidation type="list" allowBlank="1" showInputMessage="1" showErrorMessage="1" sqref="I25:N25 I31:N31">
      <formula1>$A$70:$A$100</formula1>
    </dataValidation>
    <dataValidation type="list" allowBlank="1" showInputMessage="1" showErrorMessage="1" sqref="M35:N35">
      <formula1>$B$75:$B$105</formula1>
    </dataValidation>
  </dataValidations>
  <printOptions horizontalCentered="1"/>
  <pageMargins left="0.78740157480314965" right="0.74803149606299213" top="0.98425196850393704" bottom="0.98425196850393704" header="0.51181102362204722" footer="0.51181102362204722"/>
  <pageSetup paperSize="9" scale="92" orientation="portrait" r:id="rId1"/>
  <headerFooter scaleWithDoc="0" alignWithMargins="0">
    <oddHeader>&amp;L&amp;"-,Regular"&amp;8&amp;F&amp;R&amp;"-,Regular"&amp;8&amp;A
________________________________________________________________________________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colBreaks count="1" manualBreakCount="1">
    <brk id="16" max="5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Y92"/>
  <sheetViews>
    <sheetView zoomScaleNormal="100" workbookViewId="0">
      <selection activeCell="K16" sqref="K16:M16"/>
    </sheetView>
  </sheetViews>
  <sheetFormatPr defaultColWidth="8.85546875" defaultRowHeight="12.75"/>
  <cols>
    <col min="1" max="1" width="2.85546875" style="5" customWidth="1"/>
    <col min="2" max="2" width="7.7109375" style="1" customWidth="1"/>
    <col min="3" max="10" width="3.7109375" style="1" customWidth="1"/>
    <col min="11" max="13" width="5.28515625" style="1" customWidth="1"/>
    <col min="14" max="14" width="5" style="1" customWidth="1"/>
    <col min="15" max="15" width="5.42578125" style="1" customWidth="1"/>
    <col min="16" max="19" width="5" style="1" customWidth="1"/>
    <col min="20" max="20" width="3.7109375" style="1" customWidth="1"/>
    <col min="21" max="16384" width="8.85546875" style="5"/>
  </cols>
  <sheetData>
    <row r="1" spans="1:25" s="47" customFormat="1" ht="16.5" customHeight="1">
      <c r="B1" s="46"/>
      <c r="C1" s="46"/>
      <c r="D1" s="40"/>
      <c r="E1" s="40"/>
      <c r="F1" s="40"/>
      <c r="G1" s="40"/>
      <c r="H1" s="40"/>
      <c r="I1" s="40"/>
      <c r="J1" s="40"/>
      <c r="K1" s="40"/>
      <c r="L1" s="40"/>
      <c r="M1" s="40"/>
      <c r="N1" s="40"/>
      <c r="O1" s="40"/>
      <c r="T1" s="48"/>
      <c r="U1" s="41" t="s">
        <v>359</v>
      </c>
    </row>
    <row r="2" spans="1:25" s="38" customFormat="1" ht="19.5" customHeight="1">
      <c r="A2" s="82" t="s">
        <v>402</v>
      </c>
      <c r="B2" s="53"/>
      <c r="C2" s="53"/>
      <c r="D2" s="41"/>
      <c r="E2" s="41"/>
      <c r="F2" s="41"/>
      <c r="G2" s="41"/>
      <c r="H2" s="41"/>
      <c r="I2" s="41"/>
      <c r="J2" s="41"/>
      <c r="K2" s="41"/>
      <c r="L2" s="41"/>
      <c r="M2" s="41"/>
      <c r="N2" s="41"/>
      <c r="O2" s="41"/>
      <c r="P2" s="41"/>
      <c r="Q2" s="127" t="str">
        <f>'SP11-1'!$L$2</f>
        <v>Spreadsheet v 3 (27-March-14)</v>
      </c>
      <c r="R2" s="41"/>
      <c r="S2" s="41"/>
      <c r="T2" s="54"/>
      <c r="U2" s="139" t="s">
        <v>360</v>
      </c>
      <c r="V2" s="41"/>
      <c r="W2" s="41"/>
      <c r="X2" s="41"/>
      <c r="Y2" s="41"/>
    </row>
    <row r="3" spans="1:25" s="47" customFormat="1" ht="11.25" customHeight="1">
      <c r="A3" s="55" t="s">
        <v>285</v>
      </c>
      <c r="B3" s="55"/>
      <c r="C3" s="4"/>
      <c r="D3" s="4"/>
      <c r="E3" s="4"/>
      <c r="F3" s="4"/>
      <c r="G3" s="4"/>
      <c r="H3" s="4"/>
      <c r="I3" s="4"/>
      <c r="J3" s="4"/>
      <c r="K3" s="4"/>
      <c r="L3" s="4"/>
      <c r="M3" s="4"/>
      <c r="N3" s="4"/>
      <c r="O3" s="4"/>
      <c r="P3" s="4"/>
      <c r="Q3" s="41"/>
      <c r="R3" s="41"/>
      <c r="S3" s="41"/>
      <c r="T3" s="41"/>
      <c r="U3" s="41"/>
      <c r="V3" s="41"/>
      <c r="W3" s="41"/>
      <c r="X3" s="41"/>
      <c r="Y3" s="41"/>
    </row>
    <row r="4" spans="1:25" s="38" customFormat="1" ht="24" customHeight="1">
      <c r="A4" s="82"/>
      <c r="B4" s="295" t="s">
        <v>374</v>
      </c>
      <c r="C4" s="295"/>
      <c r="D4" s="295"/>
      <c r="E4" s="295"/>
      <c r="F4" s="295"/>
      <c r="G4" s="295"/>
      <c r="H4" s="295"/>
      <c r="I4" s="295"/>
      <c r="J4" s="295"/>
      <c r="K4" s="295"/>
      <c r="L4" s="295"/>
      <c r="M4" s="295"/>
      <c r="N4" s="295"/>
      <c r="O4" s="295"/>
      <c r="P4" s="295"/>
      <c r="Q4" s="295"/>
      <c r="R4" s="295"/>
      <c r="S4" s="295"/>
      <c r="T4" s="295"/>
      <c r="U4" s="41"/>
      <c r="V4" s="41"/>
      <c r="W4" s="41"/>
      <c r="X4" s="41"/>
      <c r="Y4" s="41"/>
    </row>
    <row r="5" spans="1:25" s="47" customFormat="1" ht="11.25" customHeight="1">
      <c r="A5" s="36"/>
      <c r="B5" s="36"/>
      <c r="C5" s="4"/>
      <c r="D5" s="4"/>
      <c r="E5" s="4"/>
      <c r="F5" s="4"/>
      <c r="G5" s="4"/>
      <c r="H5" s="4"/>
      <c r="I5" s="4"/>
      <c r="J5" s="4"/>
      <c r="K5" s="4"/>
      <c r="L5" s="4"/>
      <c r="M5" s="4"/>
      <c r="N5" s="4"/>
      <c r="O5" s="4"/>
      <c r="P5" s="4"/>
      <c r="Q5" s="41"/>
      <c r="R5" s="41"/>
      <c r="S5" s="41"/>
      <c r="T5" s="41"/>
      <c r="U5" s="41"/>
      <c r="V5" s="41"/>
      <c r="W5" s="41"/>
      <c r="X5" s="41"/>
      <c r="Y5" s="41"/>
    </row>
    <row r="6" spans="1:25" s="41" customFormat="1" ht="3.75" customHeight="1">
      <c r="A6" s="56"/>
      <c r="B6" s="57"/>
      <c r="C6" s="57"/>
      <c r="D6" s="57"/>
      <c r="E6" s="57"/>
      <c r="F6" s="57"/>
      <c r="G6" s="57"/>
      <c r="H6" s="57"/>
      <c r="I6" s="57"/>
      <c r="J6" s="57"/>
      <c r="K6" s="57"/>
      <c r="L6" s="57"/>
      <c r="M6" s="57"/>
      <c r="N6" s="57"/>
      <c r="O6" s="57"/>
      <c r="P6" s="60"/>
      <c r="Q6" s="60"/>
      <c r="R6" s="60"/>
      <c r="S6" s="60"/>
      <c r="T6" s="60"/>
    </row>
    <row r="7" spans="1:25" s="47" customFormat="1" ht="19.5" customHeight="1">
      <c r="A7" s="58">
        <v>1</v>
      </c>
      <c r="B7" s="312" t="s">
        <v>286</v>
      </c>
      <c r="C7" s="312"/>
      <c r="D7" s="312"/>
      <c r="E7" s="312"/>
      <c r="F7" s="312"/>
      <c r="G7" s="312"/>
      <c r="H7" s="312"/>
      <c r="I7" s="312"/>
      <c r="J7" s="312"/>
      <c r="K7" s="312"/>
      <c r="L7" s="312"/>
      <c r="M7" s="312"/>
      <c r="N7" s="312"/>
      <c r="O7" s="57"/>
      <c r="P7" s="57"/>
      <c r="Q7" s="57"/>
      <c r="R7" s="57"/>
      <c r="S7" s="57"/>
      <c r="T7" s="57"/>
      <c r="U7" s="41"/>
      <c r="V7" s="41"/>
      <c r="W7" s="41"/>
      <c r="X7" s="41"/>
      <c r="Y7" s="41"/>
    </row>
    <row r="8" spans="1:25" s="47" customFormat="1" ht="19.5" customHeight="1" thickBot="1">
      <c r="A8" s="59"/>
      <c r="B8" s="60" t="s">
        <v>287</v>
      </c>
      <c r="C8" s="57"/>
      <c r="D8" s="57"/>
      <c r="E8" s="57"/>
      <c r="F8" s="57"/>
      <c r="G8" s="57"/>
      <c r="H8" s="57"/>
      <c r="I8" s="57"/>
      <c r="J8" s="57"/>
      <c r="K8" s="57"/>
      <c r="L8" s="57"/>
      <c r="M8" s="57"/>
      <c r="N8" s="57"/>
      <c r="O8" s="57"/>
      <c r="P8" s="60"/>
      <c r="Q8" s="60"/>
      <c r="R8" s="60"/>
      <c r="S8" s="60"/>
      <c r="T8" s="57"/>
      <c r="U8" s="41"/>
      <c r="V8" s="41"/>
      <c r="W8" s="41"/>
      <c r="X8" s="41"/>
      <c r="Y8" s="41"/>
    </row>
    <row r="9" spans="1:25" s="47" customFormat="1" ht="19.5" customHeight="1" thickTop="1" thickBot="1">
      <c r="A9" s="64"/>
      <c r="B9" s="60" t="s">
        <v>288</v>
      </c>
      <c r="C9" s="66"/>
      <c r="D9" s="66"/>
      <c r="E9" s="297">
        <f>'SP11-1'!I25-3</f>
        <v>2012</v>
      </c>
      <c r="F9" s="297"/>
      <c r="G9" s="66"/>
      <c r="H9" s="66"/>
      <c r="I9" s="66"/>
      <c r="J9" s="57"/>
      <c r="K9" s="57"/>
      <c r="L9" s="57"/>
      <c r="M9" s="344" t="s">
        <v>636</v>
      </c>
      <c r="N9" s="345"/>
      <c r="O9" s="346"/>
      <c r="P9" s="72" t="s">
        <v>16</v>
      </c>
      <c r="Q9" s="315">
        <v>0</v>
      </c>
      <c r="R9" s="315"/>
      <c r="S9" s="315"/>
      <c r="T9" s="57"/>
      <c r="U9" s="41"/>
      <c r="V9" s="41"/>
      <c r="W9" s="41"/>
      <c r="X9" s="41"/>
      <c r="Y9" s="41"/>
    </row>
    <row r="10" spans="1:25" s="47" customFormat="1" ht="19.5" customHeight="1" thickTop="1" thickBot="1">
      <c r="A10" s="56"/>
      <c r="B10" s="60" t="s">
        <v>289</v>
      </c>
      <c r="C10" s="57"/>
      <c r="D10" s="57"/>
      <c r="E10" s="350">
        <f>'SP11-1'!I25-2</f>
        <v>2013</v>
      </c>
      <c r="F10" s="350"/>
      <c r="G10" s="57"/>
      <c r="H10" s="57"/>
      <c r="I10" s="57"/>
      <c r="J10" s="57"/>
      <c r="K10" s="57"/>
      <c r="L10" s="57"/>
      <c r="M10" s="344" t="s">
        <v>636</v>
      </c>
      <c r="N10" s="345"/>
      <c r="O10" s="346"/>
      <c r="P10" s="72" t="s">
        <v>16</v>
      </c>
      <c r="Q10" s="315">
        <v>0</v>
      </c>
      <c r="R10" s="315"/>
      <c r="S10" s="315"/>
      <c r="T10" s="57"/>
      <c r="U10" s="41"/>
      <c r="V10" s="41"/>
      <c r="W10" s="41"/>
      <c r="X10" s="41"/>
      <c r="Y10" s="41"/>
    </row>
    <row r="11" spans="1:25" s="47" customFormat="1" ht="19.5" customHeight="1" thickTop="1" thickBot="1">
      <c r="A11" s="56"/>
      <c r="B11" s="60" t="s">
        <v>290</v>
      </c>
      <c r="C11" s="57"/>
      <c r="D11" s="57"/>
      <c r="E11" s="350">
        <f>'SP11-1'!I25-1</f>
        <v>2014</v>
      </c>
      <c r="F11" s="350"/>
      <c r="G11" s="57"/>
      <c r="H11" s="57"/>
      <c r="I11" s="57"/>
      <c r="J11" s="57"/>
      <c r="K11" s="57"/>
      <c r="L11" s="57"/>
      <c r="M11" s="344" t="s">
        <v>636</v>
      </c>
      <c r="N11" s="345"/>
      <c r="O11" s="346"/>
      <c r="P11" s="72" t="s">
        <v>16</v>
      </c>
      <c r="Q11" s="315">
        <v>0</v>
      </c>
      <c r="R11" s="315"/>
      <c r="S11" s="315"/>
      <c r="T11" s="57"/>
      <c r="U11" s="41"/>
      <c r="V11" s="41"/>
      <c r="W11" s="41"/>
      <c r="X11" s="41"/>
      <c r="Y11" s="41"/>
    </row>
    <row r="12" spans="1:25" s="47" customFormat="1" ht="19.5" customHeight="1" thickTop="1" thickBot="1">
      <c r="A12" s="56"/>
      <c r="B12" s="57" t="s">
        <v>209</v>
      </c>
      <c r="C12" s="57"/>
      <c r="D12" s="57"/>
      <c r="E12" s="57"/>
      <c r="F12" s="57"/>
      <c r="G12" s="57"/>
      <c r="H12" s="57"/>
      <c r="I12" s="57"/>
      <c r="J12" s="57"/>
      <c r="K12" s="99">
        <f>'SP11-1'!I25</f>
        <v>2015</v>
      </c>
      <c r="L12" s="57"/>
      <c r="M12" s="344" t="s">
        <v>636</v>
      </c>
      <c r="N12" s="345"/>
      <c r="O12" s="346"/>
      <c r="P12" s="72" t="s">
        <v>16</v>
      </c>
      <c r="Q12" s="315">
        <v>0</v>
      </c>
      <c r="R12" s="315"/>
      <c r="S12" s="315"/>
      <c r="T12" s="57"/>
      <c r="U12" s="41"/>
      <c r="V12" s="41"/>
      <c r="W12" s="41"/>
      <c r="X12" s="41"/>
      <c r="Y12" s="41"/>
    </row>
    <row r="13" spans="1:25" s="47" customFormat="1" ht="19.5" customHeight="1" thickTop="1" thickBot="1">
      <c r="A13" s="56"/>
      <c r="B13" s="57" t="s">
        <v>637</v>
      </c>
      <c r="C13" s="57"/>
      <c r="D13" s="57"/>
      <c r="E13" s="57"/>
      <c r="F13" s="57"/>
      <c r="G13" s="57"/>
      <c r="H13" s="57"/>
      <c r="I13" s="57"/>
      <c r="J13" s="57"/>
      <c r="K13" s="57"/>
      <c r="L13" s="57"/>
      <c r="M13" s="344" t="s">
        <v>636</v>
      </c>
      <c r="N13" s="345"/>
      <c r="O13" s="346"/>
      <c r="P13" s="72" t="s">
        <v>16</v>
      </c>
      <c r="Q13" s="347">
        <v>0</v>
      </c>
      <c r="R13" s="347"/>
      <c r="S13" s="347"/>
      <c r="T13" s="60"/>
      <c r="U13" s="41"/>
      <c r="V13" s="41"/>
      <c r="W13" s="41"/>
      <c r="X13" s="41"/>
      <c r="Y13" s="41"/>
    </row>
    <row r="14" spans="1:25" s="49" customFormat="1" ht="3.75" customHeight="1" thickTop="1">
      <c r="A14" s="68"/>
      <c r="B14" s="69"/>
      <c r="C14" s="69"/>
      <c r="D14" s="69"/>
      <c r="E14" s="69"/>
      <c r="F14" s="69"/>
      <c r="G14" s="69"/>
      <c r="H14" s="69"/>
      <c r="I14" s="69"/>
      <c r="J14" s="69"/>
      <c r="K14" s="69"/>
      <c r="L14" s="69"/>
      <c r="M14" s="69"/>
      <c r="N14" s="69"/>
      <c r="O14" s="69"/>
      <c r="P14" s="83"/>
      <c r="Q14" s="83"/>
      <c r="R14" s="83"/>
      <c r="S14" s="83"/>
      <c r="T14" s="69"/>
      <c r="U14" s="84"/>
      <c r="V14" s="84"/>
      <c r="W14" s="84"/>
      <c r="X14" s="84"/>
      <c r="Y14" s="84"/>
    </row>
    <row r="15" spans="1:25" s="47" customFormat="1" ht="19.5" customHeight="1">
      <c r="A15" s="58">
        <v>2</v>
      </c>
      <c r="B15" s="317" t="s">
        <v>30</v>
      </c>
      <c r="C15" s="317"/>
      <c r="D15" s="317"/>
      <c r="E15" s="317"/>
      <c r="F15" s="317"/>
      <c r="G15" s="317"/>
      <c r="H15" s="317"/>
      <c r="I15" s="317"/>
      <c r="J15" s="317"/>
      <c r="K15" s="317"/>
      <c r="L15" s="317"/>
      <c r="M15" s="317"/>
      <c r="N15" s="317"/>
      <c r="O15" s="57"/>
      <c r="P15" s="57"/>
      <c r="Q15" s="57"/>
      <c r="R15" s="57"/>
      <c r="S15" s="57"/>
      <c r="T15" s="57"/>
      <c r="U15" s="41"/>
      <c r="V15" s="41"/>
      <c r="W15" s="41"/>
      <c r="X15" s="41"/>
      <c r="Y15" s="41"/>
    </row>
    <row r="16" spans="1:25" s="47" customFormat="1" ht="19.5" customHeight="1">
      <c r="A16" s="56"/>
      <c r="B16" s="57"/>
      <c r="C16" s="57"/>
      <c r="D16" s="57"/>
      <c r="E16" s="57"/>
      <c r="F16" s="60"/>
      <c r="G16" s="60"/>
      <c r="H16" s="60"/>
      <c r="I16" s="60"/>
      <c r="J16" s="72" t="s">
        <v>345</v>
      </c>
      <c r="K16" s="352"/>
      <c r="L16" s="352"/>
      <c r="M16" s="352"/>
      <c r="N16" s="57" t="s">
        <v>413</v>
      </c>
      <c r="O16" s="140">
        <v>15.49</v>
      </c>
      <c r="P16" s="72" t="s">
        <v>414</v>
      </c>
      <c r="Q16" s="342">
        <f>K16*O16</f>
        <v>0</v>
      </c>
      <c r="R16" s="342"/>
      <c r="S16" s="342"/>
      <c r="T16" s="58" t="s">
        <v>28</v>
      </c>
      <c r="U16" s="41"/>
      <c r="V16" s="41"/>
      <c r="W16" s="41"/>
      <c r="X16" s="41"/>
      <c r="Y16" s="41"/>
    </row>
    <row r="17" spans="1:25" s="49" customFormat="1" ht="3.75" customHeight="1">
      <c r="A17" s="68"/>
      <c r="B17" s="69"/>
      <c r="C17" s="69"/>
      <c r="D17" s="69"/>
      <c r="E17" s="69"/>
      <c r="F17" s="69"/>
      <c r="G17" s="69"/>
      <c r="H17" s="69"/>
      <c r="I17" s="69"/>
      <c r="J17" s="69"/>
      <c r="K17" s="69"/>
      <c r="L17" s="69"/>
      <c r="M17" s="69"/>
      <c r="N17" s="69"/>
      <c r="O17" s="69"/>
      <c r="P17" s="69"/>
      <c r="Q17" s="69"/>
      <c r="R17" s="69"/>
      <c r="S17" s="69"/>
      <c r="T17" s="69"/>
      <c r="U17" s="84"/>
      <c r="V17" s="84"/>
      <c r="W17" s="84"/>
      <c r="X17" s="84"/>
      <c r="Y17" s="84"/>
    </row>
    <row r="18" spans="1:25" s="47" customFormat="1" ht="19.5" customHeight="1">
      <c r="A18" s="58">
        <v>3</v>
      </c>
      <c r="B18" s="317" t="s">
        <v>292</v>
      </c>
      <c r="C18" s="317"/>
      <c r="D18" s="317"/>
      <c r="E18" s="317"/>
      <c r="F18" s="317"/>
      <c r="G18" s="317"/>
      <c r="H18" s="317"/>
      <c r="I18" s="317"/>
      <c r="J18" s="317"/>
      <c r="K18" s="317"/>
      <c r="L18" s="317"/>
      <c r="M18" s="317"/>
      <c r="N18" s="57"/>
      <c r="O18" s="57"/>
      <c r="P18" s="57"/>
      <c r="Q18" s="57"/>
      <c r="R18" s="57"/>
      <c r="S18" s="57"/>
      <c r="T18" s="57"/>
      <c r="U18" s="41"/>
      <c r="V18" s="41"/>
      <c r="W18" s="41"/>
      <c r="X18" s="41"/>
      <c r="Y18" s="41"/>
    </row>
    <row r="19" spans="1:25" s="47" customFormat="1" ht="19.5" customHeight="1" thickBot="1">
      <c r="A19" s="58"/>
      <c r="B19" s="60" t="s">
        <v>38</v>
      </c>
      <c r="C19" s="57"/>
      <c r="D19" s="57"/>
      <c r="E19" s="57"/>
      <c r="F19" s="57"/>
      <c r="G19" s="57"/>
      <c r="H19" s="57"/>
      <c r="I19" s="57"/>
      <c r="J19" s="57"/>
      <c r="K19" s="57"/>
      <c r="L19" s="57"/>
      <c r="M19" s="57"/>
      <c r="N19" s="57"/>
      <c r="O19" s="57"/>
      <c r="P19" s="77" t="s">
        <v>361</v>
      </c>
      <c r="Q19" s="320"/>
      <c r="R19" s="300"/>
      <c r="S19" s="300"/>
      <c r="T19" s="57"/>
      <c r="U19" s="41"/>
      <c r="V19" s="41"/>
      <c r="W19" s="41"/>
      <c r="X19" s="41"/>
      <c r="Y19" s="41"/>
    </row>
    <row r="20" spans="1:25" s="47" customFormat="1" ht="19.5" customHeight="1" thickTop="1">
      <c r="A20" s="56"/>
      <c r="B20" s="57" t="s">
        <v>210</v>
      </c>
      <c r="C20" s="57"/>
      <c r="D20" s="57"/>
      <c r="E20" s="57"/>
      <c r="F20" s="57"/>
      <c r="G20" s="57"/>
      <c r="H20" s="57"/>
      <c r="I20" s="57"/>
      <c r="J20" s="57"/>
      <c r="K20" s="57"/>
      <c r="L20" s="57"/>
      <c r="M20" s="57"/>
      <c r="N20" s="57"/>
      <c r="O20" s="57"/>
      <c r="P20" s="57"/>
      <c r="Q20" s="57"/>
      <c r="R20" s="57"/>
      <c r="S20" s="57"/>
      <c r="T20" s="57"/>
      <c r="U20" s="41"/>
      <c r="V20" s="41"/>
      <c r="W20" s="41"/>
      <c r="X20" s="41"/>
      <c r="Y20" s="41"/>
    </row>
    <row r="21" spans="1:25" s="47" customFormat="1" ht="19.5" customHeight="1">
      <c r="A21" s="56"/>
      <c r="B21" s="85" t="s">
        <v>23</v>
      </c>
      <c r="C21" s="348" t="s">
        <v>24</v>
      </c>
      <c r="D21" s="348"/>
      <c r="E21" s="348"/>
      <c r="F21" s="348"/>
      <c r="G21" s="348"/>
      <c r="H21" s="348"/>
      <c r="I21" s="348"/>
      <c r="J21" s="348"/>
      <c r="K21" s="348" t="s">
        <v>25</v>
      </c>
      <c r="L21" s="348"/>
      <c r="M21" s="348"/>
      <c r="N21" s="348" t="s">
        <v>26</v>
      </c>
      <c r="O21" s="348"/>
      <c r="P21" s="348"/>
      <c r="Q21" s="348" t="s">
        <v>27</v>
      </c>
      <c r="R21" s="348"/>
      <c r="S21" s="349"/>
      <c r="T21" s="57"/>
      <c r="U21" s="41"/>
      <c r="V21" s="41"/>
      <c r="W21" s="41"/>
      <c r="X21" s="41"/>
      <c r="Y21" s="41"/>
    </row>
    <row r="22" spans="1:25" s="47" customFormat="1" ht="19.5" customHeight="1">
      <c r="A22" s="56"/>
      <c r="B22" s="95"/>
      <c r="C22" s="336"/>
      <c r="D22" s="336"/>
      <c r="E22" s="336"/>
      <c r="F22" s="336"/>
      <c r="G22" s="336"/>
      <c r="H22" s="336"/>
      <c r="I22" s="336"/>
      <c r="J22" s="336"/>
      <c r="K22" s="351"/>
      <c r="L22" s="351"/>
      <c r="M22" s="351"/>
      <c r="N22" s="329" t="str">
        <f>Tables!P279</f>
        <v/>
      </c>
      <c r="O22" s="329"/>
      <c r="P22" s="329"/>
      <c r="Q22" s="333" t="str">
        <f>IF(N22="","",K22*N22)</f>
        <v/>
      </c>
      <c r="R22" s="334"/>
      <c r="S22" s="335"/>
      <c r="T22" s="57"/>
      <c r="U22" s="41"/>
      <c r="V22" s="41"/>
      <c r="W22" s="41"/>
      <c r="X22" s="41"/>
      <c r="Y22" s="41"/>
    </row>
    <row r="23" spans="1:25" s="47" customFormat="1" ht="19.5" customHeight="1">
      <c r="A23" s="56"/>
      <c r="B23" s="96"/>
      <c r="C23" s="336"/>
      <c r="D23" s="336"/>
      <c r="E23" s="336"/>
      <c r="F23" s="336"/>
      <c r="G23" s="336"/>
      <c r="H23" s="336"/>
      <c r="I23" s="336"/>
      <c r="J23" s="336"/>
      <c r="K23" s="328"/>
      <c r="L23" s="328"/>
      <c r="M23" s="328"/>
      <c r="N23" s="329" t="str">
        <f>Tables!P280</f>
        <v/>
      </c>
      <c r="O23" s="329"/>
      <c r="P23" s="329"/>
      <c r="Q23" s="330" t="str">
        <f t="shared" ref="Q23:Q30" si="0">IF(N23="","",K23*N23)</f>
        <v/>
      </c>
      <c r="R23" s="331"/>
      <c r="S23" s="332"/>
      <c r="T23" s="57"/>
      <c r="U23" s="41"/>
      <c r="V23" s="41"/>
      <c r="W23" s="41"/>
      <c r="X23" s="41"/>
      <c r="Y23" s="41"/>
    </row>
    <row r="24" spans="1:25" s="47" customFormat="1" ht="19.5" customHeight="1">
      <c r="A24" s="56"/>
      <c r="B24" s="96"/>
      <c r="C24" s="327"/>
      <c r="D24" s="327"/>
      <c r="E24" s="327"/>
      <c r="F24" s="327"/>
      <c r="G24" s="327"/>
      <c r="H24" s="327"/>
      <c r="I24" s="327"/>
      <c r="J24" s="327"/>
      <c r="K24" s="328"/>
      <c r="L24" s="328"/>
      <c r="M24" s="328"/>
      <c r="N24" s="329" t="str">
        <f>Tables!P281</f>
        <v/>
      </c>
      <c r="O24" s="329"/>
      <c r="P24" s="329"/>
      <c r="Q24" s="330" t="str">
        <f t="shared" si="0"/>
        <v/>
      </c>
      <c r="R24" s="331"/>
      <c r="S24" s="332"/>
      <c r="T24" s="57"/>
      <c r="U24" s="41"/>
      <c r="V24" s="41"/>
      <c r="W24" s="41"/>
      <c r="X24" s="41"/>
      <c r="Y24" s="41"/>
    </row>
    <row r="25" spans="1:25" s="47" customFormat="1" ht="19.5" customHeight="1">
      <c r="A25" s="56"/>
      <c r="B25" s="96"/>
      <c r="C25" s="327"/>
      <c r="D25" s="327"/>
      <c r="E25" s="327"/>
      <c r="F25" s="327"/>
      <c r="G25" s="327"/>
      <c r="H25" s="327"/>
      <c r="I25" s="327"/>
      <c r="J25" s="327"/>
      <c r="K25" s="328"/>
      <c r="L25" s="328"/>
      <c r="M25" s="328"/>
      <c r="N25" s="329" t="str">
        <f>Tables!P282</f>
        <v/>
      </c>
      <c r="O25" s="329"/>
      <c r="P25" s="329"/>
      <c r="Q25" s="330" t="str">
        <f t="shared" si="0"/>
        <v/>
      </c>
      <c r="R25" s="331"/>
      <c r="S25" s="332"/>
      <c r="T25" s="57"/>
      <c r="U25" s="41"/>
      <c r="V25" s="41"/>
      <c r="W25" s="41"/>
      <c r="X25" s="41"/>
      <c r="Y25" s="41"/>
    </row>
    <row r="26" spans="1:25" s="47" customFormat="1" ht="19.5" customHeight="1">
      <c r="A26" s="56"/>
      <c r="B26" s="96"/>
      <c r="C26" s="327"/>
      <c r="D26" s="327"/>
      <c r="E26" s="327"/>
      <c r="F26" s="327"/>
      <c r="G26" s="327"/>
      <c r="H26" s="327"/>
      <c r="I26" s="327"/>
      <c r="J26" s="327"/>
      <c r="K26" s="328"/>
      <c r="L26" s="328"/>
      <c r="M26" s="328"/>
      <c r="N26" s="329" t="str">
        <f>Tables!P283</f>
        <v/>
      </c>
      <c r="O26" s="329"/>
      <c r="P26" s="329"/>
      <c r="Q26" s="330" t="str">
        <f t="shared" si="0"/>
        <v/>
      </c>
      <c r="R26" s="331"/>
      <c r="S26" s="332"/>
      <c r="T26" s="57"/>
      <c r="U26" s="41"/>
      <c r="V26" s="41"/>
      <c r="W26" s="41"/>
      <c r="X26" s="41"/>
      <c r="Y26" s="41"/>
    </row>
    <row r="27" spans="1:25" s="47" customFormat="1" ht="19.5" customHeight="1">
      <c r="A27" s="56"/>
      <c r="B27" s="96"/>
      <c r="C27" s="327"/>
      <c r="D27" s="327"/>
      <c r="E27" s="327"/>
      <c r="F27" s="327"/>
      <c r="G27" s="327"/>
      <c r="H27" s="327"/>
      <c r="I27" s="327"/>
      <c r="J27" s="327"/>
      <c r="K27" s="328"/>
      <c r="L27" s="328"/>
      <c r="M27" s="328"/>
      <c r="N27" s="329" t="str">
        <f>Tables!P284</f>
        <v/>
      </c>
      <c r="O27" s="329"/>
      <c r="P27" s="329"/>
      <c r="Q27" s="330" t="str">
        <f t="shared" si="0"/>
        <v/>
      </c>
      <c r="R27" s="331"/>
      <c r="S27" s="332"/>
      <c r="T27" s="57"/>
      <c r="U27" s="41"/>
      <c r="V27" s="41"/>
      <c r="W27" s="41"/>
      <c r="X27" s="41"/>
      <c r="Y27" s="41"/>
    </row>
    <row r="28" spans="1:25" s="47" customFormat="1" ht="19.5" customHeight="1">
      <c r="A28" s="56"/>
      <c r="B28" s="96"/>
      <c r="C28" s="327"/>
      <c r="D28" s="327"/>
      <c r="E28" s="327"/>
      <c r="F28" s="327"/>
      <c r="G28" s="327"/>
      <c r="H28" s="327"/>
      <c r="I28" s="327"/>
      <c r="J28" s="327"/>
      <c r="K28" s="328"/>
      <c r="L28" s="328"/>
      <c r="M28" s="328"/>
      <c r="N28" s="329" t="str">
        <f>Tables!P285</f>
        <v/>
      </c>
      <c r="O28" s="329"/>
      <c r="P28" s="329"/>
      <c r="Q28" s="330" t="str">
        <f t="shared" si="0"/>
        <v/>
      </c>
      <c r="R28" s="331"/>
      <c r="S28" s="332"/>
      <c r="T28" s="60"/>
      <c r="U28" s="41"/>
      <c r="V28" s="41"/>
      <c r="W28" s="41"/>
      <c r="X28" s="41"/>
      <c r="Y28" s="41"/>
    </row>
    <row r="29" spans="1:25" s="47" customFormat="1" ht="19.5" customHeight="1">
      <c r="A29" s="56"/>
      <c r="B29" s="96"/>
      <c r="C29" s="327"/>
      <c r="D29" s="327"/>
      <c r="E29" s="327"/>
      <c r="F29" s="327"/>
      <c r="G29" s="327"/>
      <c r="H29" s="327"/>
      <c r="I29" s="327"/>
      <c r="J29" s="327"/>
      <c r="K29" s="328"/>
      <c r="L29" s="328"/>
      <c r="M29" s="328"/>
      <c r="N29" s="329" t="str">
        <f>Tables!P286</f>
        <v/>
      </c>
      <c r="O29" s="329"/>
      <c r="P29" s="329"/>
      <c r="Q29" s="330" t="str">
        <f t="shared" si="0"/>
        <v/>
      </c>
      <c r="R29" s="331"/>
      <c r="S29" s="332"/>
      <c r="T29" s="57"/>
      <c r="U29" s="41"/>
      <c r="V29" s="41"/>
      <c r="W29" s="41"/>
      <c r="X29" s="41"/>
      <c r="Y29" s="41"/>
    </row>
    <row r="30" spans="1:25" s="47" customFormat="1" ht="19.5" customHeight="1">
      <c r="A30" s="56"/>
      <c r="B30" s="97"/>
      <c r="C30" s="337"/>
      <c r="D30" s="337"/>
      <c r="E30" s="337"/>
      <c r="F30" s="337"/>
      <c r="G30" s="337"/>
      <c r="H30" s="337"/>
      <c r="I30" s="337"/>
      <c r="J30" s="337"/>
      <c r="K30" s="341"/>
      <c r="L30" s="341"/>
      <c r="M30" s="341"/>
      <c r="N30" s="329" t="str">
        <f>Tables!P287</f>
        <v/>
      </c>
      <c r="O30" s="329"/>
      <c r="P30" s="329"/>
      <c r="Q30" s="330" t="str">
        <f t="shared" si="0"/>
        <v/>
      </c>
      <c r="R30" s="331"/>
      <c r="S30" s="332"/>
      <c r="T30" s="57"/>
      <c r="U30" s="41"/>
      <c r="V30" s="41"/>
      <c r="W30" s="41"/>
      <c r="X30" s="41"/>
      <c r="Y30" s="41"/>
    </row>
    <row r="31" spans="1:25" s="47" customFormat="1" ht="19.5" customHeight="1">
      <c r="A31" s="56"/>
      <c r="B31" s="57"/>
      <c r="C31" s="57"/>
      <c r="D31" s="57"/>
      <c r="E31" s="57"/>
      <c r="F31" s="57"/>
      <c r="G31" s="57"/>
      <c r="H31" s="57"/>
      <c r="I31" s="57"/>
      <c r="J31" s="57"/>
      <c r="K31" s="57"/>
      <c r="L31" s="57"/>
      <c r="M31" s="57"/>
      <c r="N31" s="57"/>
      <c r="O31" s="57"/>
      <c r="P31" s="72" t="s">
        <v>291</v>
      </c>
      <c r="Q31" s="338">
        <f>SUM(Q22:S30)</f>
        <v>0</v>
      </c>
      <c r="R31" s="339"/>
      <c r="S31" s="340"/>
      <c r="T31" s="58" t="s">
        <v>29</v>
      </c>
      <c r="U31" s="41"/>
      <c r="V31" s="41"/>
      <c r="W31" s="41"/>
      <c r="X31" s="41"/>
      <c r="Y31" s="41"/>
    </row>
    <row r="32" spans="1:25" s="49" customFormat="1" ht="3.75" customHeight="1">
      <c r="A32" s="68"/>
      <c r="B32" s="69"/>
      <c r="C32" s="69"/>
      <c r="D32" s="69"/>
      <c r="E32" s="69"/>
      <c r="F32" s="69"/>
      <c r="G32" s="69"/>
      <c r="H32" s="69"/>
      <c r="I32" s="69"/>
      <c r="J32" s="69"/>
      <c r="K32" s="69"/>
      <c r="L32" s="69"/>
      <c r="M32" s="69"/>
      <c r="N32" s="69"/>
      <c r="O32" s="69"/>
      <c r="P32" s="69"/>
      <c r="Q32" s="69"/>
      <c r="R32" s="69"/>
      <c r="S32" s="69"/>
      <c r="T32" s="69"/>
      <c r="U32" s="84"/>
      <c r="V32" s="84"/>
      <c r="W32" s="84"/>
      <c r="X32" s="84"/>
      <c r="Y32" s="84"/>
    </row>
    <row r="33" spans="1:25" s="40" customFormat="1" ht="3.75" customHeight="1">
      <c r="A33" s="56"/>
      <c r="B33" s="57"/>
      <c r="C33" s="57"/>
      <c r="D33" s="57"/>
      <c r="E33" s="57"/>
      <c r="F33" s="57"/>
      <c r="G33" s="57"/>
      <c r="H33" s="57"/>
      <c r="I33" s="57"/>
      <c r="J33" s="57"/>
      <c r="K33" s="57"/>
      <c r="L33" s="57"/>
      <c r="M33" s="57"/>
      <c r="N33" s="57"/>
      <c r="O33" s="57"/>
      <c r="P33" s="57"/>
      <c r="Q33" s="57"/>
      <c r="R33" s="57"/>
      <c r="S33" s="57"/>
      <c r="T33" s="57"/>
      <c r="U33" s="4"/>
      <c r="V33" s="4"/>
      <c r="W33" s="4"/>
      <c r="X33" s="4"/>
      <c r="Y33" s="4"/>
    </row>
    <row r="34" spans="1:25" s="47" customFormat="1" ht="19.5" customHeight="1" thickBot="1">
      <c r="A34" s="58">
        <v>4</v>
      </c>
      <c r="B34" s="322" t="s">
        <v>344</v>
      </c>
      <c r="C34" s="322"/>
      <c r="D34" s="322"/>
      <c r="E34" s="322"/>
      <c r="F34" s="322"/>
      <c r="G34" s="322"/>
      <c r="H34" s="57"/>
      <c r="I34" s="57"/>
      <c r="J34" s="57"/>
      <c r="K34" s="57"/>
      <c r="L34" s="57"/>
      <c r="M34" s="57"/>
      <c r="N34" s="57"/>
      <c r="O34" s="60"/>
      <c r="P34" s="60"/>
      <c r="Q34" s="60"/>
      <c r="R34" s="60"/>
      <c r="S34" s="60"/>
      <c r="T34" s="58"/>
      <c r="U34" s="41"/>
      <c r="V34" s="41"/>
      <c r="W34" s="41"/>
      <c r="X34" s="41"/>
      <c r="Y34" s="41"/>
    </row>
    <row r="35" spans="1:25" s="47" customFormat="1" ht="19.5" customHeight="1" thickTop="1" thickBot="1">
      <c r="A35" s="56"/>
      <c r="B35" s="60"/>
      <c r="C35" s="57"/>
      <c r="D35" s="57"/>
      <c r="E35" s="57"/>
      <c r="F35" s="57"/>
      <c r="G35" s="57"/>
      <c r="H35" s="57"/>
      <c r="I35" s="57"/>
      <c r="J35" s="72" t="s">
        <v>345</v>
      </c>
      <c r="K35" s="315"/>
      <c r="L35" s="315"/>
      <c r="M35" s="315"/>
      <c r="N35" s="57" t="s">
        <v>413</v>
      </c>
      <c r="O35" s="140">
        <v>15.49</v>
      </c>
      <c r="P35" s="72" t="s">
        <v>412</v>
      </c>
      <c r="Q35" s="343">
        <f>K35*O35</f>
        <v>0</v>
      </c>
      <c r="R35" s="343"/>
      <c r="S35" s="343"/>
      <c r="T35" s="58" t="s">
        <v>31</v>
      </c>
      <c r="U35" s="41"/>
      <c r="V35" s="41"/>
      <c r="W35" s="41"/>
      <c r="X35" s="41"/>
      <c r="Y35" s="41"/>
    </row>
    <row r="36" spans="1:25" s="49" customFormat="1" ht="3.75" customHeight="1" thickTop="1">
      <c r="A36" s="68"/>
      <c r="B36" s="69"/>
      <c r="C36" s="69"/>
      <c r="D36" s="69"/>
      <c r="E36" s="69"/>
      <c r="F36" s="69"/>
      <c r="G36" s="69"/>
      <c r="H36" s="69"/>
      <c r="I36" s="69"/>
      <c r="J36" s="69"/>
      <c r="K36" s="69"/>
      <c r="L36" s="69"/>
      <c r="M36" s="69"/>
      <c r="N36" s="69"/>
      <c r="O36" s="69"/>
      <c r="P36" s="69"/>
      <c r="Q36" s="69"/>
      <c r="R36" s="69"/>
      <c r="S36" s="69"/>
      <c r="T36" s="69"/>
      <c r="U36" s="84"/>
      <c r="V36" s="84"/>
      <c r="W36" s="84"/>
      <c r="X36" s="84"/>
      <c r="Y36" s="84"/>
    </row>
    <row r="37" spans="1:25" s="47" customFormat="1" ht="19.5" customHeight="1">
      <c r="A37" s="58">
        <v>5</v>
      </c>
      <c r="B37" s="317" t="s">
        <v>347</v>
      </c>
      <c r="C37" s="317"/>
      <c r="D37" s="317"/>
      <c r="E37" s="317"/>
      <c r="F37" s="317"/>
      <c r="G37" s="317"/>
      <c r="H37" s="57"/>
      <c r="I37" s="57"/>
      <c r="J37" s="57"/>
      <c r="K37" s="57"/>
      <c r="L37" s="57"/>
      <c r="M37" s="57"/>
      <c r="N37" s="57"/>
      <c r="O37" s="57"/>
      <c r="P37" s="57"/>
      <c r="Q37" s="57"/>
      <c r="R37" s="57"/>
      <c r="S37" s="57"/>
      <c r="T37" s="72"/>
      <c r="U37" s="41"/>
      <c r="V37" s="41"/>
      <c r="W37" s="41"/>
      <c r="X37" s="41"/>
      <c r="Y37" s="41"/>
    </row>
    <row r="38" spans="1:25" s="47" customFormat="1" ht="19.5" customHeight="1">
      <c r="A38" s="56"/>
      <c r="B38" s="57"/>
      <c r="C38" s="57"/>
      <c r="D38" s="57"/>
      <c r="E38" s="57"/>
      <c r="F38" s="57"/>
      <c r="G38" s="57"/>
      <c r="H38" s="57"/>
      <c r="I38" s="57"/>
      <c r="J38" s="57"/>
      <c r="K38" s="57"/>
      <c r="L38" s="57"/>
      <c r="M38" s="57"/>
      <c r="N38" s="57"/>
      <c r="O38" s="57"/>
      <c r="P38" s="74" t="s">
        <v>346</v>
      </c>
      <c r="Q38" s="342">
        <f>Q16+Q31+Q35</f>
        <v>0</v>
      </c>
      <c r="R38" s="342"/>
      <c r="S38" s="342"/>
      <c r="T38" s="74" t="s">
        <v>17</v>
      </c>
      <c r="U38" s="41"/>
      <c r="V38" s="41"/>
      <c r="W38" s="41"/>
      <c r="X38" s="41"/>
      <c r="Y38" s="41"/>
    </row>
    <row r="39" spans="1:25" s="47" customFormat="1" ht="19.5" customHeight="1">
      <c r="A39" s="56"/>
      <c r="B39" s="57"/>
      <c r="C39" s="57"/>
      <c r="D39" s="57"/>
      <c r="E39" s="57"/>
      <c r="F39" s="57"/>
      <c r="G39" s="57"/>
      <c r="H39" s="57"/>
      <c r="I39" s="57"/>
      <c r="J39" s="57"/>
      <c r="K39" s="57"/>
      <c r="L39" s="57"/>
      <c r="M39" s="57"/>
      <c r="N39" s="57"/>
      <c r="O39" s="57"/>
      <c r="P39" s="57"/>
      <c r="Q39" s="57"/>
      <c r="R39" s="57"/>
      <c r="S39" s="72" t="s">
        <v>320</v>
      </c>
      <c r="T39" s="60"/>
      <c r="U39" s="41"/>
      <c r="V39" s="41"/>
      <c r="W39" s="41"/>
      <c r="X39" s="41"/>
      <c r="Y39" s="41"/>
    </row>
    <row r="40" spans="1:25" s="47" customFormat="1" ht="13.5" customHeight="1">
      <c r="A40" s="36"/>
      <c r="B40" s="4"/>
      <c r="C40" s="4"/>
      <c r="D40" s="4"/>
      <c r="E40" s="4"/>
      <c r="F40" s="4"/>
      <c r="G40" s="4"/>
      <c r="H40" s="4"/>
      <c r="I40" s="4"/>
      <c r="J40" s="4"/>
      <c r="K40" s="4"/>
      <c r="L40" s="4"/>
      <c r="M40" s="4"/>
      <c r="N40" s="4"/>
      <c r="O40" s="4"/>
      <c r="P40" s="4"/>
      <c r="Q40" s="4"/>
      <c r="R40" s="4"/>
      <c r="S40" s="4"/>
      <c r="T40" s="4"/>
      <c r="U40" s="41"/>
      <c r="V40" s="41"/>
      <c r="W40" s="41"/>
      <c r="X40" s="41"/>
      <c r="Y40" s="41"/>
    </row>
    <row r="41" spans="1:25" s="47" customFormat="1" ht="13.5" customHeight="1">
      <c r="A41" s="36"/>
      <c r="B41" s="4"/>
      <c r="C41" s="4"/>
      <c r="D41" s="4"/>
      <c r="E41" s="4"/>
      <c r="F41" s="4"/>
      <c r="G41" s="4"/>
      <c r="H41" s="4"/>
      <c r="I41" s="4"/>
      <c r="J41" s="4"/>
      <c r="K41" s="4"/>
      <c r="L41" s="4"/>
      <c r="M41" s="4"/>
      <c r="N41" s="4"/>
      <c r="O41" s="4"/>
      <c r="P41" s="88"/>
      <c r="Q41" s="4"/>
      <c r="R41" s="4"/>
      <c r="S41" s="4"/>
      <c r="T41" s="36"/>
      <c r="U41" s="41"/>
      <c r="V41" s="41"/>
      <c r="W41" s="41"/>
      <c r="X41" s="41"/>
      <c r="Y41" s="41"/>
    </row>
    <row r="42" spans="1:25" s="47" customFormat="1" ht="13.5" customHeight="1">
      <c r="A42" s="36"/>
      <c r="B42" s="4"/>
      <c r="C42" s="4"/>
      <c r="D42" s="4"/>
      <c r="E42" s="4"/>
      <c r="F42" s="4"/>
      <c r="G42" s="4"/>
      <c r="H42" s="4"/>
      <c r="I42" s="4"/>
      <c r="J42" s="4"/>
      <c r="K42" s="4"/>
      <c r="L42" s="4"/>
      <c r="M42" s="4"/>
      <c r="N42" s="4"/>
      <c r="O42" s="4"/>
      <c r="P42" s="88"/>
      <c r="Q42" s="4"/>
      <c r="R42" s="4"/>
      <c r="S42" s="4"/>
      <c r="T42" s="36"/>
      <c r="U42" s="41"/>
      <c r="V42" s="41"/>
      <c r="W42" s="41"/>
      <c r="X42" s="41"/>
      <c r="Y42" s="41"/>
    </row>
    <row r="43" spans="1:25" s="47" customFormat="1" ht="13.5" customHeight="1">
      <c r="A43" s="36"/>
      <c r="B43" s="4"/>
      <c r="C43" s="4"/>
      <c r="D43" s="4"/>
      <c r="E43" s="4"/>
      <c r="F43" s="4"/>
      <c r="G43" s="4"/>
      <c r="H43" s="4"/>
      <c r="I43" s="4"/>
      <c r="J43" s="4"/>
      <c r="K43" s="4"/>
      <c r="L43" s="4"/>
      <c r="M43" s="4"/>
      <c r="N43" s="4"/>
      <c r="O43" s="4"/>
      <c r="P43" s="4"/>
      <c r="Q43" s="4"/>
      <c r="R43" s="4"/>
      <c r="S43" s="4"/>
      <c r="T43" s="36"/>
      <c r="U43" s="41"/>
      <c r="V43" s="41"/>
      <c r="W43" s="41"/>
      <c r="X43" s="41"/>
      <c r="Y43" s="41"/>
    </row>
    <row r="44" spans="1:25" s="47" customFormat="1" ht="13.5" customHeight="1">
      <c r="A44" s="4"/>
      <c r="B44" s="4"/>
      <c r="C44" s="4"/>
      <c r="D44" s="4"/>
      <c r="E44" s="4"/>
      <c r="F44" s="4"/>
      <c r="G44" s="4"/>
      <c r="H44" s="4"/>
      <c r="I44" s="4"/>
      <c r="J44" s="4"/>
      <c r="K44" s="4"/>
      <c r="L44" s="4"/>
      <c r="M44" s="4"/>
      <c r="N44" s="4"/>
      <c r="O44" s="4"/>
      <c r="P44" s="4"/>
      <c r="Q44" s="89"/>
      <c r="R44" s="89"/>
      <c r="S44" s="89"/>
      <c r="T44" s="4"/>
      <c r="U44" s="41"/>
      <c r="V44" s="41"/>
      <c r="W44" s="41"/>
      <c r="X44" s="41"/>
      <c r="Y44" s="41"/>
    </row>
    <row r="45" spans="1:25" s="38" customFormat="1">
      <c r="A45" s="41"/>
      <c r="B45" s="41"/>
      <c r="C45" s="41"/>
      <c r="D45" s="41"/>
      <c r="E45" s="41"/>
      <c r="F45" s="41"/>
      <c r="G45" s="41"/>
      <c r="H45" s="41"/>
      <c r="I45" s="41"/>
      <c r="J45" s="41"/>
      <c r="K45" s="41"/>
      <c r="L45" s="41"/>
      <c r="M45" s="41"/>
      <c r="N45" s="41"/>
      <c r="O45" s="41"/>
      <c r="P45" s="41"/>
      <c r="Q45" s="41"/>
      <c r="R45" s="41"/>
      <c r="S45" s="41"/>
      <c r="T45" s="41"/>
      <c r="U45" s="41"/>
      <c r="V45" s="41"/>
      <c r="W45" s="41"/>
      <c r="X45" s="41"/>
      <c r="Y45" s="41"/>
    </row>
    <row r="46" spans="1:25">
      <c r="A46" s="90"/>
      <c r="B46" s="80"/>
      <c r="C46" s="80"/>
      <c r="D46" s="80"/>
      <c r="E46" s="80"/>
      <c r="F46" s="80"/>
      <c r="G46" s="80"/>
      <c r="H46" s="80"/>
      <c r="I46" s="80"/>
      <c r="J46" s="80"/>
      <c r="K46" s="80"/>
      <c r="L46" s="80"/>
      <c r="M46" s="80"/>
      <c r="N46" s="80"/>
      <c r="O46" s="80"/>
      <c r="P46" s="80"/>
      <c r="Q46" s="80"/>
      <c r="R46" s="80"/>
      <c r="S46" s="80"/>
      <c r="T46" s="80"/>
      <c r="U46" s="90"/>
      <c r="V46" s="90"/>
      <c r="W46" s="90"/>
      <c r="X46" s="90"/>
      <c r="Y46" s="90"/>
    </row>
    <row r="47" spans="1:25">
      <c r="A47" s="90"/>
      <c r="B47" s="80"/>
      <c r="C47" s="80"/>
      <c r="D47" s="80"/>
      <c r="E47" s="80"/>
      <c r="F47" s="80"/>
      <c r="G47" s="80"/>
      <c r="H47" s="80"/>
      <c r="I47" s="80"/>
      <c r="J47" s="80"/>
      <c r="K47" s="80"/>
      <c r="L47" s="80"/>
      <c r="M47" s="80"/>
      <c r="N47" s="80"/>
      <c r="O47" s="80"/>
      <c r="P47" s="80"/>
      <c r="Q47" s="80"/>
      <c r="R47" s="80"/>
      <c r="S47" s="80"/>
      <c r="T47" s="80"/>
      <c r="U47" s="90"/>
      <c r="V47" s="90"/>
      <c r="W47" s="90"/>
      <c r="X47" s="90"/>
      <c r="Y47" s="90"/>
    </row>
    <row r="48" spans="1:25">
      <c r="A48" s="90"/>
      <c r="B48" s="80"/>
      <c r="C48" s="80"/>
      <c r="D48" s="80"/>
      <c r="E48" s="80"/>
      <c r="F48" s="80"/>
      <c r="G48" s="80"/>
      <c r="H48" s="80"/>
      <c r="I48" s="80"/>
      <c r="J48" s="80"/>
      <c r="K48" s="80"/>
      <c r="L48" s="80"/>
      <c r="M48" s="80"/>
      <c r="N48" s="80"/>
      <c r="O48" s="80"/>
      <c r="P48" s="80"/>
      <c r="Q48" s="80"/>
      <c r="R48" s="80"/>
      <c r="S48" s="80"/>
      <c r="T48" s="80"/>
      <c r="U48" s="90"/>
      <c r="V48" s="90"/>
      <c r="W48" s="90"/>
      <c r="X48" s="90"/>
      <c r="Y48" s="90"/>
    </row>
    <row r="49" spans="1:25">
      <c r="A49" s="90"/>
      <c r="B49" s="80"/>
      <c r="C49" s="80"/>
      <c r="D49" s="80"/>
      <c r="E49" s="80"/>
      <c r="F49" s="80"/>
      <c r="G49" s="80"/>
      <c r="H49" s="80"/>
      <c r="I49" s="80"/>
      <c r="J49" s="80"/>
      <c r="K49" s="80"/>
      <c r="L49" s="80"/>
      <c r="M49" s="80"/>
      <c r="N49" s="80"/>
      <c r="O49" s="80"/>
      <c r="P49" s="80"/>
      <c r="Q49" s="80"/>
      <c r="R49" s="80"/>
      <c r="S49" s="80"/>
      <c r="T49" s="80"/>
      <c r="U49" s="90"/>
      <c r="V49" s="90"/>
      <c r="W49" s="90"/>
      <c r="X49" s="90"/>
      <c r="Y49" s="90"/>
    </row>
    <row r="50" spans="1:25">
      <c r="A50" s="90"/>
      <c r="B50" s="80"/>
      <c r="C50" s="80"/>
      <c r="D50" s="80"/>
      <c r="E50" s="80"/>
      <c r="F50" s="80"/>
      <c r="G50" s="80"/>
      <c r="H50" s="80"/>
      <c r="I50" s="80"/>
      <c r="J50" s="80"/>
      <c r="K50" s="80"/>
      <c r="L50" s="80"/>
      <c r="M50" s="80"/>
      <c r="N50" s="80"/>
      <c r="O50" s="80"/>
      <c r="P50" s="80"/>
      <c r="Q50" s="80"/>
      <c r="R50" s="80"/>
      <c r="S50" s="80"/>
      <c r="T50" s="80"/>
      <c r="U50" s="90"/>
      <c r="V50" s="90"/>
      <c r="W50" s="90"/>
      <c r="X50" s="90"/>
      <c r="Y50" s="90"/>
    </row>
    <row r="51" spans="1:25" ht="12.6" customHeight="1">
      <c r="A51" s="90"/>
      <c r="B51" s="80"/>
      <c r="C51" s="80"/>
      <c r="D51" s="80"/>
      <c r="E51" s="80"/>
      <c r="F51" s="80"/>
      <c r="G51" s="80"/>
      <c r="H51" s="80"/>
      <c r="I51" s="80"/>
      <c r="J51" s="80"/>
      <c r="K51" s="80"/>
      <c r="L51" s="80"/>
      <c r="M51" s="80"/>
      <c r="N51" s="80"/>
      <c r="O51" s="80"/>
      <c r="P51" s="80"/>
      <c r="Q51" s="80"/>
      <c r="R51" s="80"/>
      <c r="S51" s="80"/>
      <c r="T51" s="80"/>
      <c r="U51" s="90"/>
      <c r="V51" s="90"/>
      <c r="W51" s="90"/>
      <c r="X51" s="90"/>
      <c r="Y51" s="90"/>
    </row>
    <row r="52" spans="1:25">
      <c r="A52" s="41">
        <v>0</v>
      </c>
      <c r="B52" s="80"/>
      <c r="C52" s="80"/>
      <c r="D52" s="80"/>
      <c r="E52" s="80" t="s">
        <v>635</v>
      </c>
      <c r="F52" s="80"/>
      <c r="G52" s="80"/>
      <c r="H52" s="80"/>
      <c r="I52" s="80"/>
      <c r="J52" s="80"/>
      <c r="K52" s="80"/>
      <c r="L52" s="80"/>
      <c r="M52" s="80"/>
      <c r="N52" s="80"/>
      <c r="O52" s="80"/>
      <c r="P52" s="80"/>
      <c r="Q52" s="80"/>
      <c r="R52" s="80"/>
      <c r="S52" s="80"/>
      <c r="T52" s="80"/>
      <c r="U52" s="90"/>
      <c r="V52" s="90"/>
      <c r="W52" s="90"/>
      <c r="X52" s="90"/>
      <c r="Y52" s="90"/>
    </row>
    <row r="53" spans="1:25">
      <c r="A53" s="41">
        <v>1</v>
      </c>
      <c r="B53" s="80"/>
      <c r="C53" s="80"/>
      <c r="D53" s="80"/>
      <c r="E53" s="80" t="s">
        <v>636</v>
      </c>
      <c r="F53" s="80"/>
      <c r="G53" s="80"/>
      <c r="H53" s="80"/>
      <c r="I53" s="80"/>
      <c r="J53" s="80"/>
      <c r="K53" s="80"/>
      <c r="L53" s="80"/>
      <c r="M53" s="80"/>
      <c r="N53" s="80"/>
      <c r="O53" s="80"/>
      <c r="P53" s="80"/>
      <c r="Q53" s="80"/>
      <c r="R53" s="80"/>
      <c r="S53" s="80"/>
      <c r="T53" s="80"/>
      <c r="U53" s="90"/>
      <c r="V53" s="90"/>
      <c r="W53" s="90"/>
      <c r="X53" s="90"/>
      <c r="Y53" s="90"/>
    </row>
    <row r="54" spans="1:25">
      <c r="A54" s="41">
        <v>2</v>
      </c>
      <c r="B54" s="80"/>
      <c r="C54" s="80"/>
      <c r="D54" s="80"/>
      <c r="E54" s="80"/>
      <c r="F54" s="80"/>
      <c r="G54" s="80"/>
      <c r="H54" s="80"/>
      <c r="I54" s="80"/>
      <c r="J54" s="80"/>
      <c r="K54" s="80"/>
      <c r="L54" s="80"/>
      <c r="M54" s="80"/>
      <c r="N54" s="80"/>
      <c r="O54" s="80"/>
      <c r="P54" s="80"/>
      <c r="Q54" s="80"/>
      <c r="R54" s="80"/>
      <c r="S54" s="80"/>
      <c r="T54" s="80"/>
      <c r="U54" s="90"/>
      <c r="V54" s="90"/>
      <c r="W54" s="90"/>
      <c r="X54" s="90"/>
      <c r="Y54" s="90"/>
    </row>
    <row r="55" spans="1:25">
      <c r="A55" s="41">
        <v>3</v>
      </c>
      <c r="B55" s="80"/>
      <c r="C55" s="80"/>
      <c r="D55" s="80"/>
      <c r="E55" s="80"/>
      <c r="F55" s="80"/>
      <c r="G55" s="80"/>
      <c r="H55" s="80"/>
      <c r="I55" s="80"/>
      <c r="J55" s="80"/>
      <c r="K55" s="80"/>
      <c r="L55" s="80"/>
      <c r="M55" s="80"/>
      <c r="N55" s="80"/>
      <c r="O55" s="80"/>
      <c r="P55" s="80"/>
      <c r="Q55" s="80"/>
      <c r="R55" s="80"/>
      <c r="S55" s="80"/>
      <c r="T55" s="80"/>
      <c r="U55" s="90"/>
      <c r="V55" s="90"/>
      <c r="W55" s="90"/>
      <c r="X55" s="90"/>
      <c r="Y55" s="90"/>
    </row>
    <row r="56" spans="1:25">
      <c r="A56" s="41">
        <v>4</v>
      </c>
      <c r="B56" s="80"/>
      <c r="C56" s="80"/>
      <c r="D56" s="80"/>
      <c r="E56" s="80"/>
      <c r="F56" s="80"/>
      <c r="G56" s="80"/>
      <c r="H56" s="80"/>
      <c r="I56" s="80"/>
      <c r="J56" s="80"/>
      <c r="K56" s="80"/>
      <c r="L56" s="80"/>
      <c r="M56" s="80"/>
      <c r="N56" s="80"/>
      <c r="O56" s="80"/>
      <c r="P56" s="80"/>
      <c r="Q56" s="80"/>
      <c r="R56" s="80"/>
      <c r="S56" s="80"/>
      <c r="T56" s="80"/>
      <c r="U56" s="90"/>
      <c r="V56" s="90"/>
      <c r="W56" s="90"/>
      <c r="X56" s="90"/>
      <c r="Y56" s="90"/>
    </row>
    <row r="57" spans="1:25">
      <c r="A57" s="41">
        <v>5</v>
      </c>
      <c r="B57" s="80"/>
      <c r="C57" s="80"/>
      <c r="D57" s="80"/>
      <c r="E57" s="80"/>
      <c r="F57" s="80"/>
      <c r="G57" s="80"/>
      <c r="H57" s="80"/>
      <c r="I57" s="80"/>
      <c r="J57" s="80"/>
      <c r="K57" s="80"/>
      <c r="L57" s="80"/>
      <c r="M57" s="80"/>
      <c r="N57" s="80"/>
      <c r="O57" s="80"/>
      <c r="P57" s="80"/>
      <c r="Q57" s="80"/>
      <c r="R57" s="80"/>
      <c r="S57" s="80"/>
      <c r="T57" s="80"/>
      <c r="U57" s="90"/>
      <c r="V57" s="90"/>
      <c r="W57" s="90"/>
      <c r="X57" s="90"/>
      <c r="Y57" s="90"/>
    </row>
    <row r="58" spans="1:25">
      <c r="A58" s="41">
        <v>6</v>
      </c>
      <c r="B58" s="80"/>
      <c r="C58" s="80"/>
      <c r="D58" s="80"/>
      <c r="E58" s="80"/>
      <c r="F58" s="80"/>
      <c r="G58" s="80"/>
      <c r="H58" s="80"/>
      <c r="I58" s="80"/>
      <c r="J58" s="80"/>
      <c r="K58" s="80"/>
      <c r="L58" s="80"/>
      <c r="M58" s="80"/>
      <c r="N58" s="80"/>
      <c r="O58" s="80"/>
      <c r="P58" s="80"/>
      <c r="Q58" s="80"/>
      <c r="R58" s="80"/>
      <c r="S58" s="80"/>
      <c r="T58" s="80"/>
      <c r="U58" s="90"/>
      <c r="V58" s="90"/>
      <c r="W58" s="90"/>
      <c r="X58" s="90"/>
      <c r="Y58" s="90"/>
    </row>
    <row r="59" spans="1:25">
      <c r="A59" s="41">
        <v>7</v>
      </c>
      <c r="B59" s="80"/>
      <c r="C59" s="80"/>
      <c r="D59" s="80"/>
      <c r="E59" s="80"/>
      <c r="F59" s="80"/>
      <c r="G59" s="80"/>
      <c r="H59" s="80"/>
      <c r="I59" s="80"/>
      <c r="J59" s="80"/>
      <c r="K59" s="80"/>
      <c r="L59" s="80"/>
      <c r="M59" s="80"/>
      <c r="N59" s="80"/>
      <c r="O59" s="80"/>
      <c r="P59" s="80"/>
      <c r="Q59" s="80"/>
      <c r="R59" s="80"/>
      <c r="S59" s="80"/>
      <c r="T59" s="80"/>
      <c r="U59" s="90"/>
      <c r="V59" s="90"/>
      <c r="W59" s="90"/>
      <c r="X59" s="90"/>
      <c r="Y59" s="90"/>
    </row>
    <row r="60" spans="1:25">
      <c r="A60" s="41">
        <v>8</v>
      </c>
      <c r="B60" s="80"/>
      <c r="C60" s="80"/>
      <c r="D60" s="80"/>
      <c r="E60" s="80"/>
      <c r="F60" s="80"/>
      <c r="G60" s="80"/>
      <c r="H60" s="80"/>
      <c r="I60" s="80"/>
      <c r="J60" s="80"/>
      <c r="K60" s="80"/>
      <c r="L60" s="80"/>
      <c r="M60" s="80"/>
      <c r="N60" s="80"/>
      <c r="O60" s="80"/>
      <c r="P60" s="80"/>
      <c r="Q60" s="80"/>
      <c r="R60" s="80"/>
      <c r="S60" s="80"/>
      <c r="T60" s="80"/>
      <c r="U60" s="90"/>
      <c r="V60" s="90"/>
      <c r="W60" s="90"/>
      <c r="X60" s="90"/>
      <c r="Y60" s="90"/>
    </row>
    <row r="61" spans="1:25">
      <c r="A61" s="41">
        <v>9</v>
      </c>
      <c r="B61" s="80"/>
      <c r="C61" s="80"/>
      <c r="D61" s="80"/>
      <c r="E61" s="80"/>
      <c r="F61" s="80"/>
      <c r="G61" s="80"/>
      <c r="H61" s="80"/>
      <c r="I61" s="80"/>
      <c r="J61" s="80"/>
      <c r="K61" s="80"/>
      <c r="L61" s="80"/>
      <c r="M61" s="80"/>
      <c r="N61" s="80"/>
      <c r="O61" s="80"/>
      <c r="P61" s="80"/>
      <c r="Q61" s="80"/>
      <c r="R61" s="80"/>
      <c r="S61" s="80"/>
      <c r="T61" s="80"/>
      <c r="U61" s="90"/>
      <c r="V61" s="90"/>
      <c r="W61" s="90"/>
      <c r="X61" s="90"/>
      <c r="Y61" s="90"/>
    </row>
    <row r="62" spans="1:25">
      <c r="A62" s="41">
        <v>10</v>
      </c>
      <c r="B62" s="80"/>
      <c r="C62" s="80"/>
      <c r="D62" s="80"/>
      <c r="E62" s="80"/>
      <c r="F62" s="80"/>
      <c r="G62" s="80"/>
      <c r="H62" s="80"/>
      <c r="I62" s="80"/>
      <c r="J62" s="80"/>
      <c r="K62" s="80"/>
      <c r="L62" s="80"/>
      <c r="M62" s="80"/>
      <c r="N62" s="80"/>
      <c r="O62" s="80"/>
      <c r="P62" s="80"/>
      <c r="Q62" s="80"/>
      <c r="R62" s="80"/>
      <c r="S62" s="80"/>
      <c r="T62" s="80"/>
      <c r="U62" s="90"/>
      <c r="V62" s="90"/>
      <c r="W62" s="90"/>
      <c r="X62" s="90"/>
      <c r="Y62" s="90"/>
    </row>
    <row r="63" spans="1:25">
      <c r="A63" s="41">
        <v>11</v>
      </c>
      <c r="B63" s="80"/>
      <c r="C63" s="80"/>
      <c r="D63" s="80"/>
      <c r="E63" s="80"/>
      <c r="F63" s="80"/>
      <c r="G63" s="80"/>
      <c r="H63" s="80"/>
      <c r="I63" s="80"/>
      <c r="J63" s="80"/>
      <c r="K63" s="80"/>
      <c r="L63" s="80"/>
      <c r="M63" s="80"/>
      <c r="N63" s="80"/>
      <c r="O63" s="80"/>
      <c r="P63" s="80"/>
      <c r="Q63" s="80"/>
      <c r="R63" s="80"/>
      <c r="S63" s="80"/>
      <c r="T63" s="80"/>
      <c r="U63" s="90"/>
      <c r="V63" s="90"/>
      <c r="W63" s="90"/>
      <c r="X63" s="90"/>
      <c r="Y63" s="90"/>
    </row>
    <row r="64" spans="1:25">
      <c r="A64" s="41">
        <v>12</v>
      </c>
      <c r="B64" s="80"/>
      <c r="C64" s="80"/>
      <c r="D64" s="80"/>
      <c r="E64" s="80"/>
      <c r="F64" s="80"/>
      <c r="G64" s="80"/>
      <c r="H64" s="80"/>
      <c r="I64" s="80"/>
      <c r="J64" s="80"/>
      <c r="K64" s="80"/>
      <c r="L64" s="80"/>
      <c r="M64" s="80"/>
      <c r="N64" s="80"/>
      <c r="O64" s="80"/>
      <c r="P64" s="80"/>
      <c r="Q64" s="80"/>
      <c r="R64" s="80"/>
      <c r="S64" s="80"/>
      <c r="T64" s="80"/>
      <c r="U64" s="90"/>
      <c r="V64" s="90"/>
      <c r="W64" s="90"/>
      <c r="X64" s="90"/>
      <c r="Y64" s="90"/>
    </row>
    <row r="65" spans="1:25">
      <c r="A65" s="41">
        <v>13</v>
      </c>
      <c r="B65" s="80"/>
      <c r="C65" s="80"/>
      <c r="D65" s="80"/>
      <c r="E65" s="80"/>
      <c r="F65" s="80"/>
      <c r="G65" s="80"/>
      <c r="H65" s="80"/>
      <c r="I65" s="80"/>
      <c r="J65" s="80"/>
      <c r="K65" s="80"/>
      <c r="L65" s="80"/>
      <c r="M65" s="80"/>
      <c r="N65" s="80"/>
      <c r="O65" s="80"/>
      <c r="P65" s="80"/>
      <c r="Q65" s="80"/>
      <c r="R65" s="80"/>
      <c r="S65" s="80"/>
      <c r="T65" s="80"/>
      <c r="U65" s="90"/>
      <c r="V65" s="90"/>
      <c r="W65" s="90"/>
      <c r="X65" s="90"/>
      <c r="Y65" s="90"/>
    </row>
    <row r="66" spans="1:25">
      <c r="A66" s="41">
        <v>14</v>
      </c>
      <c r="B66" s="80"/>
      <c r="C66" s="80"/>
      <c r="D66" s="80"/>
      <c r="E66" s="80"/>
      <c r="F66" s="80"/>
      <c r="G66" s="80"/>
      <c r="H66" s="80"/>
      <c r="I66" s="80"/>
      <c r="J66" s="80"/>
      <c r="K66" s="80"/>
      <c r="L66" s="80"/>
      <c r="M66" s="80"/>
      <c r="N66" s="80"/>
      <c r="O66" s="80"/>
      <c r="P66" s="80"/>
      <c r="Q66" s="80"/>
      <c r="R66" s="80"/>
      <c r="S66" s="80"/>
      <c r="T66" s="80"/>
      <c r="U66" s="90"/>
      <c r="V66" s="90"/>
      <c r="W66" s="90"/>
      <c r="X66" s="90"/>
      <c r="Y66" s="90"/>
    </row>
    <row r="67" spans="1:25">
      <c r="A67" s="41">
        <v>15</v>
      </c>
      <c r="B67" s="80"/>
      <c r="C67" s="80"/>
      <c r="D67" s="80"/>
      <c r="E67" s="80"/>
      <c r="F67" s="80"/>
      <c r="G67" s="80"/>
      <c r="H67" s="80"/>
      <c r="I67" s="80"/>
      <c r="J67" s="80"/>
      <c r="K67" s="80"/>
      <c r="L67" s="80"/>
      <c r="M67" s="80"/>
      <c r="N67" s="80"/>
      <c r="O67" s="80"/>
      <c r="P67" s="80"/>
      <c r="Q67" s="80"/>
      <c r="R67" s="80"/>
      <c r="S67" s="80"/>
      <c r="T67" s="80"/>
      <c r="U67" s="90"/>
      <c r="V67" s="90"/>
      <c r="W67" s="90"/>
      <c r="X67" s="90"/>
      <c r="Y67" s="90"/>
    </row>
    <row r="68" spans="1:25">
      <c r="A68" s="41">
        <v>16</v>
      </c>
      <c r="B68" s="80"/>
      <c r="C68" s="80"/>
      <c r="D68" s="80"/>
      <c r="E68" s="80"/>
      <c r="F68" s="80"/>
      <c r="G68" s="80"/>
      <c r="H68" s="80"/>
      <c r="I68" s="80"/>
      <c r="J68" s="80"/>
      <c r="K68" s="80"/>
      <c r="L68" s="80"/>
      <c r="M68" s="80"/>
      <c r="N68" s="80"/>
      <c r="O68" s="80"/>
      <c r="P68" s="80"/>
      <c r="Q68" s="80"/>
      <c r="R68" s="80"/>
      <c r="S68" s="80"/>
      <c r="T68" s="80"/>
      <c r="U68" s="90"/>
      <c r="V68" s="90"/>
      <c r="W68" s="90"/>
      <c r="X68" s="90"/>
      <c r="Y68" s="90"/>
    </row>
    <row r="69" spans="1:25">
      <c r="A69" s="41">
        <v>17</v>
      </c>
      <c r="B69" s="80"/>
      <c r="C69" s="80"/>
      <c r="D69" s="80"/>
      <c r="E69" s="80"/>
      <c r="F69" s="80"/>
      <c r="G69" s="80"/>
      <c r="H69" s="80"/>
      <c r="I69" s="80"/>
      <c r="J69" s="80"/>
      <c r="K69" s="80"/>
      <c r="L69" s="80"/>
      <c r="M69" s="80"/>
      <c r="N69" s="80"/>
      <c r="O69" s="80"/>
      <c r="P69" s="80"/>
      <c r="Q69" s="80"/>
      <c r="R69" s="80"/>
      <c r="S69" s="80"/>
      <c r="T69" s="80"/>
      <c r="U69" s="90"/>
      <c r="V69" s="90"/>
      <c r="W69" s="90"/>
      <c r="X69" s="90"/>
      <c r="Y69" s="90"/>
    </row>
    <row r="70" spans="1:25">
      <c r="A70" s="41">
        <v>18</v>
      </c>
      <c r="B70" s="80"/>
      <c r="C70" s="80"/>
      <c r="D70" s="80"/>
      <c r="E70" s="80"/>
      <c r="F70" s="80"/>
      <c r="G70" s="80"/>
      <c r="H70" s="80"/>
      <c r="I70" s="80"/>
      <c r="J70" s="80"/>
      <c r="K70" s="80"/>
      <c r="L70" s="80"/>
      <c r="M70" s="80"/>
      <c r="N70" s="80"/>
      <c r="O70" s="80"/>
      <c r="P70" s="80"/>
      <c r="Q70" s="80"/>
      <c r="R70" s="80"/>
      <c r="S70" s="80"/>
      <c r="T70" s="80"/>
      <c r="U70" s="90"/>
      <c r="V70" s="90"/>
      <c r="W70" s="90"/>
      <c r="X70" s="90"/>
      <c r="Y70" s="90"/>
    </row>
    <row r="71" spans="1:25">
      <c r="A71" s="41">
        <v>19</v>
      </c>
      <c r="B71" s="80"/>
      <c r="C71" s="80"/>
      <c r="D71" s="80"/>
      <c r="E71" s="80"/>
      <c r="F71" s="80"/>
      <c r="G71" s="80"/>
      <c r="H71" s="80"/>
      <c r="I71" s="80"/>
      <c r="J71" s="80"/>
      <c r="K71" s="80"/>
      <c r="L71" s="80"/>
      <c r="M71" s="80"/>
      <c r="N71" s="80"/>
      <c r="O71" s="80"/>
      <c r="P71" s="80"/>
      <c r="Q71" s="80"/>
      <c r="R71" s="80"/>
      <c r="S71" s="80"/>
      <c r="T71" s="80"/>
      <c r="U71" s="90"/>
      <c r="V71" s="90"/>
      <c r="W71" s="90"/>
      <c r="X71" s="90"/>
      <c r="Y71" s="90"/>
    </row>
    <row r="72" spans="1:25">
      <c r="A72" s="41">
        <v>20</v>
      </c>
      <c r="B72" s="80"/>
      <c r="C72" s="80"/>
      <c r="D72" s="80"/>
      <c r="E72" s="80"/>
      <c r="F72" s="80"/>
      <c r="G72" s="80"/>
      <c r="H72" s="80"/>
      <c r="I72" s="80"/>
      <c r="J72" s="80"/>
      <c r="K72" s="80"/>
      <c r="L72" s="80"/>
      <c r="M72" s="80"/>
      <c r="N72" s="80"/>
      <c r="O72" s="80"/>
      <c r="P72" s="80"/>
      <c r="Q72" s="80"/>
      <c r="R72" s="80"/>
      <c r="S72" s="80"/>
      <c r="T72" s="80"/>
      <c r="U72" s="90"/>
      <c r="V72" s="90"/>
      <c r="W72" s="90"/>
      <c r="X72" s="90"/>
      <c r="Y72" s="90"/>
    </row>
    <row r="73" spans="1:25">
      <c r="A73" s="41">
        <v>21</v>
      </c>
      <c r="B73" s="80"/>
      <c r="C73" s="80"/>
      <c r="D73" s="80"/>
      <c r="E73" s="80"/>
      <c r="F73" s="80"/>
      <c r="G73" s="80"/>
      <c r="H73" s="80"/>
      <c r="I73" s="80"/>
      <c r="J73" s="80"/>
      <c r="K73" s="80"/>
      <c r="L73" s="80"/>
      <c r="M73" s="80"/>
      <c r="N73" s="80"/>
      <c r="O73" s="80"/>
      <c r="P73" s="80"/>
      <c r="Q73" s="80"/>
      <c r="R73" s="80"/>
      <c r="S73" s="80"/>
      <c r="T73" s="80"/>
      <c r="U73" s="90"/>
      <c r="V73" s="90"/>
      <c r="W73" s="90"/>
      <c r="X73" s="90"/>
      <c r="Y73" s="90"/>
    </row>
    <row r="74" spans="1:25">
      <c r="A74" s="41">
        <v>22</v>
      </c>
      <c r="B74" s="80"/>
      <c r="C74" s="80"/>
      <c r="D74" s="80"/>
      <c r="E74" s="80"/>
      <c r="F74" s="80"/>
      <c r="G74" s="80"/>
      <c r="H74" s="80"/>
      <c r="I74" s="80"/>
      <c r="J74" s="80"/>
      <c r="K74" s="80"/>
      <c r="L74" s="80"/>
      <c r="M74" s="80"/>
      <c r="N74" s="80"/>
      <c r="O74" s="80"/>
      <c r="P74" s="80"/>
      <c r="Q74" s="80"/>
      <c r="R74" s="80"/>
      <c r="S74" s="80"/>
      <c r="T74" s="80"/>
      <c r="U74" s="90"/>
      <c r="V74" s="90"/>
      <c r="W74" s="90"/>
      <c r="X74" s="90"/>
      <c r="Y74" s="90"/>
    </row>
    <row r="75" spans="1:25">
      <c r="A75" s="41">
        <v>23</v>
      </c>
      <c r="B75" s="80"/>
      <c r="C75" s="80"/>
      <c r="D75" s="80"/>
      <c r="E75" s="80"/>
      <c r="F75" s="80"/>
      <c r="G75" s="80"/>
      <c r="H75" s="80"/>
      <c r="I75" s="80"/>
      <c r="J75" s="80"/>
      <c r="K75" s="80"/>
      <c r="L75" s="80"/>
      <c r="M75" s="80"/>
      <c r="N75" s="80"/>
      <c r="O75" s="80"/>
      <c r="P75" s="80"/>
      <c r="Q75" s="80"/>
      <c r="R75" s="80"/>
      <c r="S75" s="80"/>
      <c r="T75" s="80"/>
      <c r="U75" s="90"/>
      <c r="V75" s="90"/>
      <c r="W75" s="90"/>
      <c r="X75" s="90"/>
      <c r="Y75" s="90"/>
    </row>
    <row r="76" spans="1:25">
      <c r="A76" s="41">
        <v>24</v>
      </c>
      <c r="B76" s="80"/>
      <c r="C76" s="80"/>
      <c r="D76" s="80"/>
      <c r="E76" s="80"/>
      <c r="F76" s="80"/>
      <c r="G76" s="80"/>
      <c r="H76" s="80"/>
      <c r="I76" s="80"/>
      <c r="J76" s="80"/>
      <c r="K76" s="80"/>
      <c r="L76" s="80"/>
      <c r="M76" s="80"/>
      <c r="N76" s="80"/>
      <c r="O76" s="80"/>
      <c r="P76" s="80"/>
      <c r="Q76" s="80"/>
      <c r="R76" s="80"/>
      <c r="S76" s="80"/>
      <c r="T76" s="80"/>
      <c r="U76" s="90"/>
      <c r="V76" s="90"/>
      <c r="W76" s="90"/>
      <c r="X76" s="90"/>
      <c r="Y76" s="90"/>
    </row>
    <row r="77" spans="1:25">
      <c r="A77" s="41">
        <v>25</v>
      </c>
      <c r="B77" s="80"/>
      <c r="C77" s="80"/>
      <c r="D77" s="80"/>
      <c r="E77" s="80"/>
      <c r="F77" s="80"/>
      <c r="G77" s="80"/>
      <c r="H77" s="80"/>
      <c r="I77" s="80"/>
      <c r="J77" s="80"/>
      <c r="K77" s="80"/>
      <c r="L77" s="80"/>
      <c r="M77" s="80"/>
      <c r="N77" s="80"/>
      <c r="O77" s="80"/>
      <c r="P77" s="80"/>
      <c r="Q77" s="80"/>
      <c r="R77" s="80"/>
      <c r="S77" s="80"/>
      <c r="T77" s="80"/>
      <c r="U77" s="90"/>
      <c r="V77" s="90"/>
      <c r="W77" s="90"/>
      <c r="X77" s="90"/>
      <c r="Y77" s="90"/>
    </row>
    <row r="78" spans="1:25">
      <c r="A78" s="41">
        <v>26</v>
      </c>
      <c r="B78" s="80"/>
      <c r="C78" s="80"/>
      <c r="D78" s="80"/>
      <c r="E78" s="80"/>
      <c r="F78" s="80"/>
      <c r="G78" s="80"/>
      <c r="H78" s="80"/>
      <c r="I78" s="80"/>
      <c r="J78" s="80"/>
      <c r="K78" s="80"/>
      <c r="L78" s="80"/>
      <c r="M78" s="80"/>
      <c r="N78" s="80"/>
      <c r="O78" s="80"/>
      <c r="P78" s="80"/>
      <c r="Q78" s="80"/>
      <c r="R78" s="80"/>
      <c r="S78" s="80"/>
      <c r="T78" s="80"/>
      <c r="U78" s="90"/>
      <c r="V78" s="90"/>
      <c r="W78" s="90"/>
      <c r="X78" s="90"/>
      <c r="Y78" s="90"/>
    </row>
    <row r="79" spans="1:25">
      <c r="A79" s="41">
        <v>27</v>
      </c>
      <c r="B79" s="80"/>
      <c r="C79" s="80"/>
      <c r="D79" s="80"/>
      <c r="E79" s="80"/>
      <c r="F79" s="80"/>
      <c r="G79" s="80"/>
      <c r="H79" s="80"/>
      <c r="I79" s="80"/>
      <c r="J79" s="80"/>
      <c r="K79" s="80"/>
      <c r="L79" s="80"/>
      <c r="M79" s="80"/>
      <c r="N79" s="80"/>
      <c r="O79" s="80"/>
      <c r="P79" s="80"/>
      <c r="Q79" s="80"/>
      <c r="R79" s="80"/>
      <c r="S79" s="80"/>
      <c r="T79" s="80"/>
      <c r="U79" s="90"/>
      <c r="V79" s="90"/>
      <c r="W79" s="90"/>
      <c r="X79" s="90"/>
      <c r="Y79" s="90"/>
    </row>
    <row r="80" spans="1:25">
      <c r="A80" s="41">
        <v>28</v>
      </c>
      <c r="B80" s="80"/>
      <c r="C80" s="80"/>
      <c r="D80" s="80"/>
      <c r="E80" s="80"/>
      <c r="F80" s="80"/>
      <c r="G80" s="80"/>
      <c r="H80" s="80"/>
      <c r="I80" s="80"/>
      <c r="J80" s="80"/>
      <c r="K80" s="80"/>
      <c r="L80" s="80"/>
      <c r="M80" s="80"/>
      <c r="N80" s="80"/>
      <c r="O80" s="80"/>
      <c r="P80" s="80"/>
      <c r="Q80" s="80"/>
      <c r="R80" s="80"/>
      <c r="S80" s="80"/>
      <c r="T80" s="80"/>
      <c r="U80" s="90"/>
      <c r="V80" s="90"/>
      <c r="W80" s="90"/>
      <c r="X80" s="90"/>
      <c r="Y80" s="90"/>
    </row>
    <row r="81" spans="1:25">
      <c r="A81" s="41">
        <v>29</v>
      </c>
      <c r="B81" s="80"/>
      <c r="C81" s="80"/>
      <c r="D81" s="80"/>
      <c r="E81" s="80"/>
      <c r="F81" s="80"/>
      <c r="G81" s="80"/>
      <c r="H81" s="80"/>
      <c r="I81" s="80"/>
      <c r="J81" s="80"/>
      <c r="K81" s="80"/>
      <c r="L81" s="80"/>
      <c r="M81" s="80"/>
      <c r="N81" s="80"/>
      <c r="O81" s="80"/>
      <c r="P81" s="80"/>
      <c r="Q81" s="80"/>
      <c r="R81" s="80"/>
      <c r="S81" s="80"/>
      <c r="T81" s="80"/>
      <c r="U81" s="90"/>
      <c r="V81" s="90"/>
      <c r="W81" s="90"/>
      <c r="X81" s="90"/>
      <c r="Y81" s="90"/>
    </row>
    <row r="82" spans="1:25">
      <c r="A82" s="41">
        <v>30</v>
      </c>
      <c r="B82" s="80"/>
      <c r="C82" s="80"/>
      <c r="D82" s="80"/>
      <c r="E82" s="80"/>
      <c r="F82" s="80"/>
      <c r="G82" s="80"/>
      <c r="H82" s="80"/>
      <c r="I82" s="80"/>
      <c r="J82" s="80"/>
      <c r="K82" s="80"/>
      <c r="L82" s="80"/>
      <c r="M82" s="80"/>
      <c r="N82" s="80"/>
      <c r="O82" s="80"/>
      <c r="P82" s="80"/>
      <c r="Q82" s="80"/>
      <c r="R82" s="80"/>
      <c r="S82" s="80"/>
      <c r="T82" s="80"/>
      <c r="U82" s="90"/>
      <c r="V82" s="90"/>
      <c r="W82" s="90"/>
      <c r="X82" s="90"/>
      <c r="Y82" s="90"/>
    </row>
    <row r="83" spans="1:25">
      <c r="A83" s="41">
        <v>31</v>
      </c>
      <c r="B83" s="80"/>
      <c r="C83" s="80"/>
      <c r="D83" s="80"/>
      <c r="E83" s="80"/>
      <c r="F83" s="80"/>
      <c r="G83" s="80"/>
      <c r="H83" s="80"/>
      <c r="I83" s="80"/>
      <c r="J83" s="80"/>
      <c r="K83" s="80"/>
      <c r="L83" s="80"/>
      <c r="M83" s="80"/>
      <c r="N83" s="80"/>
      <c r="O83" s="80"/>
      <c r="P83" s="80"/>
      <c r="Q83" s="80"/>
      <c r="R83" s="80"/>
      <c r="S83" s="80"/>
      <c r="T83" s="80"/>
      <c r="U83" s="90"/>
      <c r="V83" s="90"/>
      <c r="W83" s="90"/>
      <c r="X83" s="90"/>
      <c r="Y83" s="90"/>
    </row>
    <row r="84" spans="1:25">
      <c r="A84" s="41">
        <v>32</v>
      </c>
      <c r="B84" s="80"/>
      <c r="C84" s="80"/>
      <c r="D84" s="80"/>
      <c r="E84" s="80"/>
      <c r="F84" s="80"/>
      <c r="G84" s="80"/>
      <c r="H84" s="80"/>
      <c r="I84" s="80"/>
      <c r="J84" s="80"/>
      <c r="K84" s="80"/>
      <c r="L84" s="80"/>
      <c r="M84" s="80"/>
      <c r="N84" s="80"/>
      <c r="O84" s="80"/>
      <c r="P84" s="80"/>
      <c r="Q84" s="80"/>
      <c r="R84" s="80"/>
      <c r="S84" s="80"/>
      <c r="T84" s="80"/>
      <c r="U84" s="90"/>
      <c r="V84" s="90"/>
      <c r="W84" s="90"/>
      <c r="X84" s="90"/>
      <c r="Y84" s="90"/>
    </row>
    <row r="85" spans="1:25">
      <c r="A85" s="41">
        <v>33</v>
      </c>
      <c r="B85" s="80"/>
      <c r="C85" s="80"/>
      <c r="D85" s="80"/>
      <c r="E85" s="80"/>
      <c r="F85" s="80"/>
      <c r="G85" s="80"/>
      <c r="H85" s="80"/>
      <c r="I85" s="80"/>
      <c r="J85" s="80"/>
      <c r="K85" s="80"/>
      <c r="L85" s="80"/>
      <c r="M85" s="80"/>
      <c r="N85" s="80"/>
      <c r="O85" s="80"/>
      <c r="P85" s="80"/>
      <c r="Q85" s="80"/>
      <c r="R85" s="80"/>
      <c r="S85" s="80"/>
      <c r="T85" s="80"/>
      <c r="U85" s="90"/>
      <c r="V85" s="90"/>
      <c r="W85" s="90"/>
      <c r="X85" s="90"/>
      <c r="Y85" s="90"/>
    </row>
    <row r="86" spans="1:25">
      <c r="A86" s="41">
        <v>34</v>
      </c>
      <c r="B86" s="80"/>
      <c r="C86" s="80"/>
      <c r="D86" s="80"/>
      <c r="E86" s="80"/>
      <c r="F86" s="80"/>
      <c r="G86" s="80"/>
      <c r="H86" s="80"/>
      <c r="I86" s="80"/>
      <c r="J86" s="80"/>
      <c r="K86" s="80"/>
      <c r="L86" s="80"/>
      <c r="M86" s="80"/>
      <c r="N86" s="80"/>
      <c r="O86" s="80"/>
      <c r="P86" s="80"/>
      <c r="Q86" s="80"/>
      <c r="R86" s="80"/>
      <c r="S86" s="80"/>
      <c r="T86" s="80"/>
      <c r="U86" s="90"/>
      <c r="V86" s="90"/>
      <c r="W86" s="90"/>
      <c r="X86" s="90"/>
      <c r="Y86" s="90"/>
    </row>
    <row r="87" spans="1:25">
      <c r="A87" s="41">
        <v>35</v>
      </c>
    </row>
    <row r="88" spans="1:25">
      <c r="A88" s="41">
        <v>36</v>
      </c>
    </row>
    <row r="89" spans="1:25">
      <c r="A89" s="41">
        <v>37</v>
      </c>
    </row>
    <row r="90" spans="1:25">
      <c r="A90" s="41">
        <v>38</v>
      </c>
    </row>
    <row r="91" spans="1:25">
      <c r="A91" s="41">
        <v>39</v>
      </c>
    </row>
    <row r="92" spans="1:25">
      <c r="A92" s="41">
        <v>40</v>
      </c>
    </row>
  </sheetData>
  <sheetProtection password="C5CB" sheet="1" selectLockedCells="1"/>
  <protectedRanges>
    <protectedRange sqref="Q41:S42" name="Range13"/>
    <protectedRange sqref="F19:O19 C7:T7 F8:O8 Q19:S19 T8" name="Range1_1"/>
    <protectedRange sqref="H14:N15 P12:P14 T16 T10:T12 O15:T15 Q14:S14 H34:J35 N34:N35 K34:M34 H10:L13" name="Range2"/>
    <protectedRange sqref="T17:T19 H17:S18" name="Range3_1"/>
    <protectedRange sqref="T21:T23 H21:S30 P31:S31" name="Range5_1"/>
    <protectedRange sqref="K31" name="Range9_1"/>
    <protectedRange sqref="G37:I40" name="Range10_1"/>
    <protectedRange sqref="R37:S38" name="Range11_1"/>
    <protectedRange sqref="Q41:S42" name="Range12"/>
  </protectedRanges>
  <mergeCells count="66">
    <mergeCell ref="C22:J22"/>
    <mergeCell ref="M12:O12"/>
    <mergeCell ref="M13:O13"/>
    <mergeCell ref="E11:F11"/>
    <mergeCell ref="E10:F10"/>
    <mergeCell ref="M10:O10"/>
    <mergeCell ref="M11:O11"/>
    <mergeCell ref="K22:M22"/>
    <mergeCell ref="K16:M16"/>
    <mergeCell ref="Q12:S12"/>
    <mergeCell ref="Q13:S13"/>
    <mergeCell ref="Q16:S16"/>
    <mergeCell ref="Q21:S21"/>
    <mergeCell ref="B7:N7"/>
    <mergeCell ref="B15:N15"/>
    <mergeCell ref="B18:M18"/>
    <mergeCell ref="C21:J21"/>
    <mergeCell ref="K21:M21"/>
    <mergeCell ref="N21:P21"/>
    <mergeCell ref="E9:F9"/>
    <mergeCell ref="Q38:S38"/>
    <mergeCell ref="N27:P27"/>
    <mergeCell ref="Q27:S27"/>
    <mergeCell ref="C28:J28"/>
    <mergeCell ref="K28:M28"/>
    <mergeCell ref="N28:P28"/>
    <mergeCell ref="K29:M29"/>
    <mergeCell ref="B37:G37"/>
    <mergeCell ref="Q35:S35"/>
    <mergeCell ref="K35:M35"/>
    <mergeCell ref="K27:M27"/>
    <mergeCell ref="B34:G34"/>
    <mergeCell ref="C30:J30"/>
    <mergeCell ref="K26:M26"/>
    <mergeCell ref="C27:J27"/>
    <mergeCell ref="Q30:S30"/>
    <mergeCell ref="Q31:S31"/>
    <mergeCell ref="N26:P26"/>
    <mergeCell ref="K30:M30"/>
    <mergeCell ref="N30:P30"/>
    <mergeCell ref="Q28:S28"/>
    <mergeCell ref="C26:J26"/>
    <mergeCell ref="C29:J29"/>
    <mergeCell ref="B4:T4"/>
    <mergeCell ref="N29:P29"/>
    <mergeCell ref="Q29:S29"/>
    <mergeCell ref="Q22:S22"/>
    <mergeCell ref="C23:J23"/>
    <mergeCell ref="Q26:S26"/>
    <mergeCell ref="N24:P24"/>
    <mergeCell ref="Q19:S19"/>
    <mergeCell ref="K23:M23"/>
    <mergeCell ref="N22:P22"/>
    <mergeCell ref="M9:O9"/>
    <mergeCell ref="Q9:S9"/>
    <mergeCell ref="Q10:S10"/>
    <mergeCell ref="Q11:S11"/>
    <mergeCell ref="C25:J25"/>
    <mergeCell ref="K25:M25"/>
    <mergeCell ref="N25:P25"/>
    <mergeCell ref="Q25:S25"/>
    <mergeCell ref="N23:P23"/>
    <mergeCell ref="Q23:S23"/>
    <mergeCell ref="C24:J24"/>
    <mergeCell ref="K24:M24"/>
    <mergeCell ref="Q24:S24"/>
  </mergeCells>
  <phoneticPr fontId="8" type="noConversion"/>
  <dataValidations xWindow="132" yWindow="354" count="2">
    <dataValidation type="list" allowBlank="1" showErrorMessage="1" errorTitle="Input not valid" error="Please select the year by pushing the drop-down arrow and clicking the correct year" prompt="Select the year" sqref="B22:B30">
      <formula1>$A$52:$A$92</formula1>
    </dataValidation>
    <dataValidation type="list" allowBlank="1" showInputMessage="1" showErrorMessage="1" sqref="M9:O13">
      <formula1>$E$52:$E$53</formula1>
    </dataValidation>
  </dataValidations>
  <printOptions horizontalCentered="1"/>
  <pageMargins left="0.74803149606299213" right="0.74803149606299213" top="0.98425196850393704" bottom="0.98425196850393704" header="0.51181102362204722" footer="0.51181102362204722"/>
  <pageSetup paperSize="9" scale="97" orientation="portrait" r:id="rId1"/>
  <headerFooter scaleWithDoc="0" alignWithMargins="0">
    <oddHeader>&amp;L&amp;"-,Regular"&amp;8&amp;F&amp;R&amp;"-,Regular"&amp;8&amp;A
_______________________________________________________________________________</oddHeader>
    <oddFooter>&amp;L&amp;"-,Regular"&amp;8_______________________________________________________________________________
NZ Transport Agency’s Economic evaluation manual 
Effective from Jul 2013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Y89"/>
  <sheetViews>
    <sheetView topLeftCell="A4" zoomScaleNormal="100" workbookViewId="0">
      <selection activeCell="K15" sqref="K15:M15"/>
    </sheetView>
  </sheetViews>
  <sheetFormatPr defaultColWidth="8.85546875" defaultRowHeight="12.75"/>
  <cols>
    <col min="1" max="1" width="2.140625" style="5" customWidth="1"/>
    <col min="2" max="2" width="9.7109375" style="5" customWidth="1"/>
    <col min="3" max="9" width="3.5703125" style="5" customWidth="1"/>
    <col min="10" max="10" width="5" style="5" customWidth="1"/>
    <col min="11" max="19" width="5.42578125" style="5" customWidth="1"/>
    <col min="20" max="20" width="3.42578125" style="2" customWidth="1"/>
    <col min="21" max="16384" width="8.85546875" style="5"/>
  </cols>
  <sheetData>
    <row r="1" spans="1:25" s="47" customFormat="1" ht="16.5" customHeight="1">
      <c r="B1" s="40"/>
      <c r="C1" s="40"/>
      <c r="D1" s="40"/>
      <c r="E1" s="40"/>
      <c r="F1" s="40"/>
      <c r="G1" s="40"/>
      <c r="H1" s="40"/>
      <c r="I1" s="40"/>
      <c r="J1" s="40"/>
      <c r="K1" s="40"/>
      <c r="L1" s="40"/>
      <c r="M1" s="40"/>
      <c r="N1" s="40"/>
      <c r="O1" s="40"/>
      <c r="T1" s="48"/>
      <c r="U1" s="41" t="s">
        <v>359</v>
      </c>
    </row>
    <row r="2" spans="1:25" s="38" customFormat="1" ht="19.5" customHeight="1">
      <c r="A2" s="82" t="s">
        <v>402</v>
      </c>
      <c r="B2" s="41"/>
      <c r="C2" s="41"/>
      <c r="D2" s="41"/>
      <c r="E2" s="41"/>
      <c r="F2" s="41"/>
      <c r="G2" s="41"/>
      <c r="H2" s="41"/>
      <c r="I2" s="41"/>
      <c r="J2" s="41"/>
      <c r="K2" s="41"/>
      <c r="L2" s="41"/>
      <c r="M2" s="41"/>
      <c r="N2" s="41"/>
      <c r="O2" s="41"/>
      <c r="P2" s="41"/>
      <c r="Q2" s="127" t="str">
        <f>'SP11-1'!$L$2</f>
        <v>Spreadsheet v 3 (27-March-14)</v>
      </c>
      <c r="R2" s="41"/>
      <c r="S2" s="41"/>
      <c r="T2" s="41"/>
      <c r="U2" s="139" t="s">
        <v>360</v>
      </c>
      <c r="V2" s="41"/>
      <c r="W2" s="41"/>
      <c r="X2" s="41"/>
      <c r="Y2" s="41"/>
    </row>
    <row r="3" spans="1:25" s="47" customFormat="1" ht="11.25" customHeight="1">
      <c r="A3" s="55" t="s">
        <v>293</v>
      </c>
      <c r="B3" s="4"/>
      <c r="C3" s="4"/>
      <c r="D3" s="4"/>
      <c r="E3" s="4"/>
      <c r="F3" s="4"/>
      <c r="G3" s="4"/>
      <c r="H3" s="4"/>
      <c r="I3" s="4"/>
      <c r="J3" s="4"/>
      <c r="K3" s="4"/>
      <c r="L3" s="4"/>
      <c r="M3" s="4"/>
      <c r="N3" s="4"/>
      <c r="O3" s="4"/>
      <c r="P3" s="41"/>
      <c r="Q3" s="41"/>
      <c r="R3" s="41"/>
      <c r="S3" s="41"/>
      <c r="T3" s="54"/>
      <c r="U3" s="41"/>
      <c r="V3" s="41"/>
      <c r="W3" s="41"/>
      <c r="X3" s="41"/>
      <c r="Y3" s="41"/>
    </row>
    <row r="4" spans="1:25" s="38" customFormat="1" ht="15.75">
      <c r="A4" s="82"/>
      <c r="B4" s="295" t="s">
        <v>375</v>
      </c>
      <c r="C4" s="362"/>
      <c r="D4" s="362"/>
      <c r="E4" s="362"/>
      <c r="F4" s="362"/>
      <c r="G4" s="362"/>
      <c r="H4" s="362"/>
      <c r="I4" s="362"/>
      <c r="J4" s="362"/>
      <c r="K4" s="362"/>
      <c r="L4" s="362"/>
      <c r="M4" s="362"/>
      <c r="N4" s="362"/>
      <c r="O4" s="362"/>
      <c r="P4" s="362"/>
      <c r="Q4" s="362"/>
      <c r="R4" s="362"/>
      <c r="S4" s="362"/>
      <c r="T4" s="362"/>
      <c r="U4" s="41"/>
      <c r="V4" s="41"/>
      <c r="W4" s="41"/>
      <c r="X4" s="41"/>
      <c r="Y4" s="41"/>
    </row>
    <row r="5" spans="1:25" s="47" customFormat="1" ht="11.25" customHeight="1">
      <c r="A5" s="36"/>
      <c r="B5" s="4"/>
      <c r="C5" s="4"/>
      <c r="D5" s="4"/>
      <c r="E5" s="4"/>
      <c r="F5" s="4"/>
      <c r="G5" s="4"/>
      <c r="H5" s="4"/>
      <c r="I5" s="4"/>
      <c r="J5" s="4"/>
      <c r="K5" s="4"/>
      <c r="L5" s="4"/>
      <c r="M5" s="4"/>
      <c r="N5" s="4"/>
      <c r="O5" s="4"/>
      <c r="P5" s="41"/>
      <c r="Q5" s="41"/>
      <c r="R5" s="41"/>
      <c r="S5" s="41"/>
      <c r="T5" s="54"/>
      <c r="U5" s="41"/>
      <c r="V5" s="41"/>
      <c r="W5" s="41"/>
      <c r="X5" s="41"/>
      <c r="Y5" s="41"/>
    </row>
    <row r="6" spans="1:25" s="40" customFormat="1" ht="3.75" customHeight="1">
      <c r="A6" s="56"/>
      <c r="B6" s="57"/>
      <c r="C6" s="57"/>
      <c r="D6" s="57"/>
      <c r="E6" s="57"/>
      <c r="F6" s="57"/>
      <c r="G6" s="57"/>
      <c r="H6" s="57"/>
      <c r="I6" s="57"/>
      <c r="J6" s="57"/>
      <c r="K6" s="57"/>
      <c r="L6" s="57"/>
      <c r="M6" s="57"/>
      <c r="N6" s="57"/>
      <c r="O6" s="57"/>
      <c r="P6" s="57"/>
      <c r="Q6" s="57"/>
      <c r="R6" s="57"/>
      <c r="S6" s="57"/>
      <c r="T6" s="56"/>
      <c r="U6" s="4"/>
      <c r="V6" s="4"/>
      <c r="W6" s="4"/>
      <c r="X6" s="4"/>
      <c r="Y6" s="4"/>
    </row>
    <row r="7" spans="1:25" s="47" customFormat="1" ht="19.5" customHeight="1">
      <c r="A7" s="58">
        <v>1</v>
      </c>
      <c r="B7" s="322" t="s">
        <v>294</v>
      </c>
      <c r="C7" s="322"/>
      <c r="D7" s="322"/>
      <c r="E7" s="322"/>
      <c r="F7" s="322"/>
      <c r="G7" s="322"/>
      <c r="H7" s="322"/>
      <c r="I7" s="322"/>
      <c r="J7" s="322"/>
      <c r="K7" s="322"/>
      <c r="L7" s="322"/>
      <c r="M7" s="322"/>
      <c r="N7" s="322"/>
      <c r="O7" s="57"/>
      <c r="P7" s="57"/>
      <c r="Q7" s="57"/>
      <c r="R7" s="57"/>
      <c r="S7" s="57"/>
      <c r="T7" s="56"/>
      <c r="U7" s="41"/>
      <c r="V7" s="41"/>
      <c r="W7" s="41"/>
      <c r="X7" s="41"/>
      <c r="Y7" s="41"/>
    </row>
    <row r="8" spans="1:25" s="47" customFormat="1" ht="19.5" customHeight="1" thickBot="1">
      <c r="A8" s="56"/>
      <c r="B8" s="57"/>
      <c r="C8" s="57"/>
      <c r="D8" s="57"/>
      <c r="E8" s="57"/>
      <c r="F8" s="57"/>
      <c r="G8" s="72"/>
      <c r="H8" s="72"/>
      <c r="I8" s="72"/>
      <c r="J8" s="72" t="s">
        <v>16</v>
      </c>
      <c r="K8" s="352">
        <v>524740</v>
      </c>
      <c r="L8" s="352"/>
      <c r="M8" s="352"/>
      <c r="N8" s="57" t="s">
        <v>413</v>
      </c>
      <c r="O8" s="57">
        <v>0.94</v>
      </c>
      <c r="P8" s="72" t="s">
        <v>439</v>
      </c>
      <c r="Q8" s="364">
        <f>K8*O8</f>
        <v>493255.6</v>
      </c>
      <c r="R8" s="364"/>
      <c r="S8" s="364"/>
      <c r="T8" s="58" t="s">
        <v>28</v>
      </c>
      <c r="U8" s="41"/>
      <c r="V8" s="41"/>
      <c r="W8" s="41"/>
      <c r="X8" s="41"/>
      <c r="Y8" s="41"/>
    </row>
    <row r="9" spans="1:25" s="49" customFormat="1" ht="4.5" customHeight="1" thickTop="1">
      <c r="A9" s="68"/>
      <c r="B9" s="69"/>
      <c r="C9" s="69"/>
      <c r="D9" s="69"/>
      <c r="E9" s="69"/>
      <c r="F9" s="69"/>
      <c r="G9" s="83"/>
      <c r="H9" s="83"/>
      <c r="I9" s="83"/>
      <c r="J9" s="83"/>
      <c r="K9" s="83"/>
      <c r="L9" s="83"/>
      <c r="M9" s="83"/>
      <c r="N9" s="83"/>
      <c r="O9" s="83"/>
      <c r="P9" s="83"/>
      <c r="Q9" s="83"/>
      <c r="R9" s="83"/>
      <c r="S9" s="83"/>
      <c r="T9" s="68"/>
      <c r="U9" s="84"/>
      <c r="V9" s="84"/>
      <c r="W9" s="84"/>
      <c r="X9" s="84"/>
      <c r="Y9" s="84"/>
    </row>
    <row r="10" spans="1:25" s="50" customFormat="1" ht="4.5" customHeight="1" thickBot="1">
      <c r="A10" s="92"/>
      <c r="B10" s="91"/>
      <c r="C10" s="91"/>
      <c r="D10" s="91"/>
      <c r="E10" s="91"/>
      <c r="F10" s="91"/>
      <c r="G10" s="93"/>
      <c r="H10" s="93"/>
      <c r="I10" s="93"/>
      <c r="J10" s="93"/>
      <c r="K10" s="93"/>
      <c r="L10" s="93"/>
      <c r="M10" s="93"/>
      <c r="N10" s="93"/>
      <c r="O10" s="93"/>
      <c r="P10" s="93"/>
      <c r="Q10" s="93"/>
      <c r="R10" s="93"/>
      <c r="S10" s="93"/>
      <c r="T10" s="92"/>
      <c r="U10" s="94"/>
      <c r="V10" s="94"/>
      <c r="W10" s="94"/>
      <c r="X10" s="94"/>
      <c r="Y10" s="94"/>
    </row>
    <row r="11" spans="1:25" s="47" customFormat="1" ht="19.5" customHeight="1" thickTop="1" thickBot="1">
      <c r="A11" s="58">
        <v>2</v>
      </c>
      <c r="B11" s="322" t="s">
        <v>295</v>
      </c>
      <c r="C11" s="322"/>
      <c r="D11" s="322"/>
      <c r="E11" s="322"/>
      <c r="F11" s="322"/>
      <c r="G11" s="322"/>
      <c r="H11" s="57"/>
      <c r="I11" s="57"/>
      <c r="J11" s="57"/>
      <c r="K11" s="57"/>
      <c r="L11" s="57"/>
      <c r="M11" s="57"/>
      <c r="N11" s="57"/>
      <c r="O11" s="57"/>
      <c r="P11" s="72" t="s">
        <v>16</v>
      </c>
      <c r="Q11" s="315"/>
      <c r="R11" s="315"/>
      <c r="S11" s="315"/>
      <c r="T11" s="58" t="s">
        <v>29</v>
      </c>
      <c r="U11" s="41"/>
      <c r="V11" s="41"/>
      <c r="W11" s="41"/>
      <c r="X11" s="41"/>
      <c r="Y11" s="41"/>
    </row>
    <row r="12" spans="1:25" s="49" customFormat="1" ht="4.5" customHeight="1" thickTop="1">
      <c r="A12" s="68"/>
      <c r="B12" s="69"/>
      <c r="C12" s="69"/>
      <c r="D12" s="69"/>
      <c r="E12" s="69"/>
      <c r="F12" s="69"/>
      <c r="G12" s="83"/>
      <c r="H12" s="83"/>
      <c r="I12" s="83"/>
      <c r="J12" s="83"/>
      <c r="K12" s="83"/>
      <c r="L12" s="83"/>
      <c r="M12" s="83"/>
      <c r="N12" s="83"/>
      <c r="O12" s="83"/>
      <c r="P12" s="83"/>
      <c r="Q12" s="83"/>
      <c r="R12" s="83"/>
      <c r="S12" s="83"/>
      <c r="T12" s="68"/>
      <c r="U12" s="84"/>
      <c r="V12" s="84"/>
      <c r="W12" s="84"/>
      <c r="X12" s="84"/>
      <c r="Y12" s="84"/>
    </row>
    <row r="13" spans="1:25" s="50" customFormat="1" ht="4.5" customHeight="1">
      <c r="A13" s="92"/>
      <c r="B13" s="91"/>
      <c r="C13" s="91"/>
      <c r="D13" s="91"/>
      <c r="E13" s="91"/>
      <c r="F13" s="91"/>
      <c r="G13" s="93"/>
      <c r="H13" s="93"/>
      <c r="I13" s="93"/>
      <c r="J13" s="93"/>
      <c r="K13" s="93"/>
      <c r="L13" s="93"/>
      <c r="M13" s="93"/>
      <c r="N13" s="93"/>
      <c r="O13" s="93"/>
      <c r="P13" s="93"/>
      <c r="Q13" s="93"/>
      <c r="R13" s="93"/>
      <c r="S13" s="93"/>
      <c r="T13" s="92"/>
      <c r="U13" s="94"/>
      <c r="V13" s="94"/>
      <c r="W13" s="94"/>
      <c r="X13" s="94"/>
      <c r="Y13" s="94"/>
    </row>
    <row r="14" spans="1:25" s="47" customFormat="1" ht="19.5" customHeight="1" thickBot="1">
      <c r="A14" s="58">
        <v>3</v>
      </c>
      <c r="B14" s="322" t="s">
        <v>363</v>
      </c>
      <c r="C14" s="322"/>
      <c r="D14" s="322"/>
      <c r="E14" s="322"/>
      <c r="F14" s="322"/>
      <c r="G14" s="322"/>
      <c r="H14" s="322"/>
      <c r="I14" s="322"/>
      <c r="J14" s="322"/>
      <c r="K14" s="322"/>
      <c r="L14" s="57"/>
      <c r="M14" s="57"/>
      <c r="N14" s="57"/>
      <c r="O14" s="57"/>
      <c r="P14" s="57"/>
      <c r="Q14" s="57"/>
      <c r="R14" s="57"/>
      <c r="S14" s="57"/>
      <c r="T14" s="58"/>
      <c r="U14" s="41"/>
      <c r="V14" s="41"/>
      <c r="W14" s="41"/>
      <c r="X14" s="41"/>
      <c r="Y14" s="41"/>
    </row>
    <row r="15" spans="1:25" s="47" customFormat="1" ht="19.5" customHeight="1" thickTop="1">
      <c r="A15" s="56"/>
      <c r="B15" s="57"/>
      <c r="C15" s="57"/>
      <c r="D15" s="57"/>
      <c r="E15" s="57"/>
      <c r="F15" s="57"/>
      <c r="G15" s="72"/>
      <c r="H15" s="72"/>
      <c r="I15" s="72"/>
      <c r="J15" s="72" t="s">
        <v>438</v>
      </c>
      <c r="K15" s="352">
        <v>2450</v>
      </c>
      <c r="L15" s="352"/>
      <c r="M15" s="352"/>
      <c r="N15" s="57" t="s">
        <v>413</v>
      </c>
      <c r="O15" s="78">
        <v>14.52</v>
      </c>
      <c r="P15" s="72" t="s">
        <v>439</v>
      </c>
      <c r="Q15" s="365">
        <f>K15*O15</f>
        <v>35574</v>
      </c>
      <c r="R15" s="365"/>
      <c r="S15" s="365"/>
      <c r="T15" s="58" t="s">
        <v>31</v>
      </c>
      <c r="U15" s="41"/>
      <c r="V15" s="41"/>
      <c r="W15" s="41"/>
      <c r="X15" s="41"/>
      <c r="Y15" s="41"/>
    </row>
    <row r="16" spans="1:25" s="49" customFormat="1" ht="3.75" customHeight="1">
      <c r="A16" s="68"/>
      <c r="B16" s="69"/>
      <c r="C16" s="69"/>
      <c r="D16" s="69"/>
      <c r="E16" s="69"/>
      <c r="F16" s="69"/>
      <c r="G16" s="83"/>
      <c r="H16" s="83"/>
      <c r="I16" s="83"/>
      <c r="J16" s="83"/>
      <c r="K16" s="83"/>
      <c r="L16" s="83"/>
      <c r="M16" s="83"/>
      <c r="N16" s="83"/>
      <c r="O16" s="83"/>
      <c r="P16" s="83"/>
      <c r="Q16" s="83"/>
      <c r="R16" s="83"/>
      <c r="S16" s="83"/>
      <c r="T16" s="68"/>
      <c r="U16" s="84"/>
      <c r="V16" s="84"/>
      <c r="W16" s="84"/>
      <c r="X16" s="84"/>
      <c r="Y16" s="84"/>
    </row>
    <row r="17" spans="1:25" s="47" customFormat="1" ht="19.5" customHeight="1">
      <c r="A17" s="58">
        <v>4</v>
      </c>
      <c r="B17" s="317" t="s">
        <v>22</v>
      </c>
      <c r="C17" s="317"/>
      <c r="D17" s="317"/>
      <c r="E17" s="317"/>
      <c r="F17" s="317"/>
      <c r="G17" s="317"/>
      <c r="H17" s="317"/>
      <c r="I17" s="57"/>
      <c r="J17" s="57"/>
      <c r="K17" s="57"/>
      <c r="L17" s="57"/>
      <c r="M17" s="57"/>
      <c r="N17" s="57"/>
      <c r="O17" s="57"/>
      <c r="P17" s="57"/>
      <c r="Q17" s="57"/>
      <c r="R17" s="57"/>
      <c r="S17" s="57"/>
      <c r="T17" s="56"/>
      <c r="U17" s="41"/>
      <c r="V17" s="41"/>
      <c r="W17" s="41"/>
      <c r="X17" s="41"/>
      <c r="Y17" s="41"/>
    </row>
    <row r="18" spans="1:25" s="47" customFormat="1" ht="19.5" customHeight="1">
      <c r="A18" s="56"/>
      <c r="B18" s="60" t="s">
        <v>38</v>
      </c>
      <c r="C18" s="57"/>
      <c r="D18" s="57"/>
      <c r="E18" s="57"/>
      <c r="F18" s="57"/>
      <c r="G18" s="57"/>
      <c r="H18" s="57"/>
      <c r="I18" s="57"/>
      <c r="J18" s="57"/>
      <c r="K18" s="57"/>
      <c r="L18" s="57"/>
      <c r="M18" s="57"/>
      <c r="N18" s="57"/>
      <c r="O18" s="57"/>
      <c r="P18" s="77" t="s">
        <v>361</v>
      </c>
      <c r="Q18" s="363">
        <f>'SP11-1'!I25</f>
        <v>2015</v>
      </c>
      <c r="R18" s="363"/>
      <c r="S18" s="363"/>
      <c r="T18" s="56"/>
      <c r="U18" s="41"/>
      <c r="V18" s="41"/>
      <c r="W18" s="41"/>
      <c r="X18" s="41"/>
      <c r="Y18" s="41"/>
    </row>
    <row r="19" spans="1:25" s="47" customFormat="1" ht="19.5" customHeight="1">
      <c r="A19" s="56"/>
      <c r="B19" s="57" t="s">
        <v>210</v>
      </c>
      <c r="C19" s="57"/>
      <c r="D19" s="57"/>
      <c r="E19" s="57"/>
      <c r="F19" s="57"/>
      <c r="G19" s="57"/>
      <c r="H19" s="57"/>
      <c r="I19" s="57"/>
      <c r="J19" s="57"/>
      <c r="K19" s="57"/>
      <c r="L19" s="57"/>
      <c r="M19" s="57"/>
      <c r="N19" s="57"/>
      <c r="O19" s="57"/>
      <c r="P19" s="57"/>
      <c r="Q19" s="57"/>
      <c r="R19" s="57"/>
      <c r="S19" s="57"/>
      <c r="T19" s="56"/>
      <c r="U19" s="41"/>
      <c r="V19" s="41"/>
      <c r="W19" s="41"/>
      <c r="X19" s="41"/>
      <c r="Y19" s="41"/>
    </row>
    <row r="20" spans="1:25" s="47" customFormat="1" ht="19.5" customHeight="1">
      <c r="A20" s="56"/>
      <c r="B20" s="85" t="s">
        <v>23</v>
      </c>
      <c r="C20" s="348" t="s">
        <v>24</v>
      </c>
      <c r="D20" s="348"/>
      <c r="E20" s="348"/>
      <c r="F20" s="348"/>
      <c r="G20" s="348"/>
      <c r="H20" s="348"/>
      <c r="I20" s="348"/>
      <c r="J20" s="348"/>
      <c r="K20" s="348" t="s">
        <v>25</v>
      </c>
      <c r="L20" s="348"/>
      <c r="M20" s="348"/>
      <c r="N20" s="348" t="s">
        <v>26</v>
      </c>
      <c r="O20" s="348"/>
      <c r="P20" s="348"/>
      <c r="Q20" s="348" t="s">
        <v>296</v>
      </c>
      <c r="R20" s="348"/>
      <c r="S20" s="349"/>
      <c r="T20" s="56"/>
      <c r="U20" s="41"/>
      <c r="V20" s="41"/>
      <c r="W20" s="41"/>
      <c r="X20" s="41"/>
      <c r="Y20" s="41"/>
    </row>
    <row r="21" spans="1:25" s="47" customFormat="1" ht="19.5" customHeight="1">
      <c r="A21" s="56"/>
      <c r="B21" s="95">
        <v>0</v>
      </c>
      <c r="C21" s="354"/>
      <c r="D21" s="354"/>
      <c r="E21" s="354"/>
      <c r="F21" s="354"/>
      <c r="G21" s="354"/>
      <c r="H21" s="354"/>
      <c r="I21" s="354"/>
      <c r="J21" s="354"/>
      <c r="K21" s="355"/>
      <c r="L21" s="355"/>
      <c r="M21" s="355"/>
      <c r="N21" s="329">
        <f>Tables!H279</f>
        <v>1</v>
      </c>
      <c r="O21" s="329"/>
      <c r="P21" s="329"/>
      <c r="Q21" s="333">
        <f>IF(N21="","",K21*N21)</f>
        <v>0</v>
      </c>
      <c r="R21" s="334"/>
      <c r="S21" s="335"/>
      <c r="T21" s="56"/>
      <c r="U21" s="41"/>
      <c r="V21" s="41"/>
      <c r="W21" s="41"/>
      <c r="X21" s="41"/>
      <c r="Y21" s="41"/>
    </row>
    <row r="22" spans="1:25" s="47" customFormat="1" ht="19.5" customHeight="1">
      <c r="A22" s="56"/>
      <c r="B22" s="96"/>
      <c r="C22" s="354"/>
      <c r="D22" s="354"/>
      <c r="E22" s="354"/>
      <c r="F22" s="354"/>
      <c r="G22" s="354"/>
      <c r="H22" s="354"/>
      <c r="I22" s="354"/>
      <c r="J22" s="354"/>
      <c r="K22" s="355"/>
      <c r="L22" s="355"/>
      <c r="M22" s="355"/>
      <c r="N22" s="329" t="str">
        <f>Tables!H280</f>
        <v/>
      </c>
      <c r="O22" s="329"/>
      <c r="P22" s="329"/>
      <c r="Q22" s="330" t="str">
        <f t="shared" ref="Q22:Q29" si="0">IF(N22="","",K22*N22)</f>
        <v/>
      </c>
      <c r="R22" s="331"/>
      <c r="S22" s="332"/>
      <c r="T22" s="56"/>
      <c r="U22" s="41"/>
      <c r="V22" s="41"/>
      <c r="W22" s="41"/>
      <c r="X22" s="41"/>
      <c r="Y22" s="41"/>
    </row>
    <row r="23" spans="1:25" s="47" customFormat="1" ht="19.5" customHeight="1">
      <c r="A23" s="56"/>
      <c r="B23" s="96"/>
      <c r="C23" s="354"/>
      <c r="D23" s="354"/>
      <c r="E23" s="354"/>
      <c r="F23" s="354"/>
      <c r="G23" s="354"/>
      <c r="H23" s="354"/>
      <c r="I23" s="354"/>
      <c r="J23" s="354"/>
      <c r="K23" s="355"/>
      <c r="L23" s="355"/>
      <c r="M23" s="355"/>
      <c r="N23" s="329" t="str">
        <f>Tables!H281</f>
        <v/>
      </c>
      <c r="O23" s="329"/>
      <c r="P23" s="329"/>
      <c r="Q23" s="330" t="str">
        <f t="shared" si="0"/>
        <v/>
      </c>
      <c r="R23" s="331"/>
      <c r="S23" s="332"/>
      <c r="T23" s="56"/>
      <c r="U23" s="41"/>
      <c r="V23" s="41"/>
      <c r="W23" s="41"/>
      <c r="X23" s="41"/>
      <c r="Y23" s="41"/>
    </row>
    <row r="24" spans="1:25" s="47" customFormat="1" ht="19.5" customHeight="1">
      <c r="A24" s="56"/>
      <c r="B24" s="96"/>
      <c r="C24" s="354"/>
      <c r="D24" s="354"/>
      <c r="E24" s="354"/>
      <c r="F24" s="354"/>
      <c r="G24" s="354"/>
      <c r="H24" s="354"/>
      <c r="I24" s="354"/>
      <c r="J24" s="354"/>
      <c r="K24" s="355"/>
      <c r="L24" s="355"/>
      <c r="M24" s="355"/>
      <c r="N24" s="329" t="str">
        <f>Tables!H282</f>
        <v/>
      </c>
      <c r="O24" s="329"/>
      <c r="P24" s="329"/>
      <c r="Q24" s="330" t="str">
        <f>IF(N24="","",K24*N24)</f>
        <v/>
      </c>
      <c r="R24" s="331"/>
      <c r="S24" s="332"/>
      <c r="T24" s="56"/>
      <c r="U24" s="41"/>
      <c r="V24" s="41"/>
      <c r="W24" s="41"/>
      <c r="X24" s="41"/>
      <c r="Y24" s="41"/>
    </row>
    <row r="25" spans="1:25" s="47" customFormat="1" ht="19.5" customHeight="1">
      <c r="A25" s="56"/>
      <c r="B25" s="96"/>
      <c r="C25" s="354"/>
      <c r="D25" s="354"/>
      <c r="E25" s="354"/>
      <c r="F25" s="354"/>
      <c r="G25" s="354"/>
      <c r="H25" s="354"/>
      <c r="I25" s="354"/>
      <c r="J25" s="354"/>
      <c r="K25" s="355"/>
      <c r="L25" s="355"/>
      <c r="M25" s="355"/>
      <c r="N25" s="329" t="str">
        <f>Tables!H283</f>
        <v/>
      </c>
      <c r="O25" s="329"/>
      <c r="P25" s="329"/>
      <c r="Q25" s="330" t="str">
        <f>IF(N25="","",K25*N25)</f>
        <v/>
      </c>
      <c r="R25" s="331"/>
      <c r="S25" s="332"/>
      <c r="T25" s="56"/>
      <c r="U25" s="41"/>
      <c r="V25" s="41"/>
      <c r="W25" s="41"/>
      <c r="X25" s="41"/>
      <c r="Y25" s="41"/>
    </row>
    <row r="26" spans="1:25" s="47" customFormat="1" ht="19.5" customHeight="1">
      <c r="A26" s="56"/>
      <c r="B26" s="96"/>
      <c r="C26" s="353"/>
      <c r="D26" s="353"/>
      <c r="E26" s="353"/>
      <c r="F26" s="353"/>
      <c r="G26" s="353"/>
      <c r="H26" s="353"/>
      <c r="I26" s="353"/>
      <c r="J26" s="353"/>
      <c r="K26" s="356"/>
      <c r="L26" s="356"/>
      <c r="M26" s="356"/>
      <c r="N26" s="329" t="str">
        <f>Tables!H284</f>
        <v/>
      </c>
      <c r="O26" s="329"/>
      <c r="P26" s="329"/>
      <c r="Q26" s="330" t="str">
        <f t="shared" si="0"/>
        <v/>
      </c>
      <c r="R26" s="331"/>
      <c r="S26" s="332"/>
      <c r="T26" s="56"/>
      <c r="U26" s="41"/>
      <c r="V26" s="41"/>
      <c r="W26" s="41"/>
      <c r="X26" s="41"/>
      <c r="Y26" s="41"/>
    </row>
    <row r="27" spans="1:25" s="47" customFormat="1" ht="19.5" customHeight="1">
      <c r="A27" s="56"/>
      <c r="B27" s="96"/>
      <c r="C27" s="353"/>
      <c r="D27" s="353"/>
      <c r="E27" s="353"/>
      <c r="F27" s="353"/>
      <c r="G27" s="353"/>
      <c r="H27" s="353"/>
      <c r="I27" s="353"/>
      <c r="J27" s="353"/>
      <c r="K27" s="356"/>
      <c r="L27" s="356"/>
      <c r="M27" s="356"/>
      <c r="N27" s="329" t="str">
        <f>Tables!H285</f>
        <v/>
      </c>
      <c r="O27" s="329"/>
      <c r="P27" s="329"/>
      <c r="Q27" s="330" t="str">
        <f t="shared" si="0"/>
        <v/>
      </c>
      <c r="R27" s="331"/>
      <c r="S27" s="332"/>
      <c r="T27" s="56"/>
      <c r="U27" s="41"/>
      <c r="V27" s="41"/>
      <c r="W27" s="41"/>
      <c r="X27" s="41"/>
      <c r="Y27" s="41"/>
    </row>
    <row r="28" spans="1:25" s="47" customFormat="1" ht="19.5" customHeight="1">
      <c r="A28" s="56"/>
      <c r="B28" s="96"/>
      <c r="C28" s="353"/>
      <c r="D28" s="353"/>
      <c r="E28" s="353"/>
      <c r="F28" s="353"/>
      <c r="G28" s="353"/>
      <c r="H28" s="353"/>
      <c r="I28" s="353"/>
      <c r="J28" s="353"/>
      <c r="K28" s="356"/>
      <c r="L28" s="356"/>
      <c r="M28" s="356"/>
      <c r="N28" s="329" t="str">
        <f>Tables!H286</f>
        <v/>
      </c>
      <c r="O28" s="329"/>
      <c r="P28" s="329"/>
      <c r="Q28" s="330" t="str">
        <f t="shared" si="0"/>
        <v/>
      </c>
      <c r="R28" s="331"/>
      <c r="S28" s="332"/>
      <c r="T28" s="56"/>
      <c r="U28" s="41"/>
      <c r="V28" s="41"/>
      <c r="W28" s="41"/>
      <c r="X28" s="41"/>
      <c r="Y28" s="41"/>
    </row>
    <row r="29" spans="1:25" s="47" customFormat="1" ht="19.5" customHeight="1">
      <c r="A29" s="56"/>
      <c r="B29" s="97"/>
      <c r="C29" s="360"/>
      <c r="D29" s="360"/>
      <c r="E29" s="360"/>
      <c r="F29" s="360"/>
      <c r="G29" s="360"/>
      <c r="H29" s="360"/>
      <c r="I29" s="360"/>
      <c r="J29" s="360"/>
      <c r="K29" s="361"/>
      <c r="L29" s="361"/>
      <c r="M29" s="361"/>
      <c r="N29" s="329" t="str">
        <f>Tables!H287</f>
        <v/>
      </c>
      <c r="O29" s="329"/>
      <c r="P29" s="329"/>
      <c r="Q29" s="330" t="str">
        <f t="shared" si="0"/>
        <v/>
      </c>
      <c r="R29" s="331"/>
      <c r="S29" s="332"/>
      <c r="T29" s="56"/>
      <c r="U29" s="41"/>
      <c r="V29" s="41"/>
      <c r="W29" s="41"/>
      <c r="X29" s="41"/>
      <c r="Y29" s="41"/>
    </row>
    <row r="30" spans="1:25" s="47" customFormat="1" ht="19.5" customHeight="1">
      <c r="A30" s="56"/>
      <c r="B30" s="57"/>
      <c r="C30" s="57"/>
      <c r="D30" s="57"/>
      <c r="E30" s="57"/>
      <c r="F30" s="57"/>
      <c r="G30" s="57"/>
      <c r="H30" s="57"/>
      <c r="I30" s="57"/>
      <c r="J30" s="57"/>
      <c r="K30" s="57"/>
      <c r="L30" s="57"/>
      <c r="M30" s="57"/>
      <c r="N30" s="57"/>
      <c r="O30" s="57"/>
      <c r="P30" s="72" t="s">
        <v>297</v>
      </c>
      <c r="Q30" s="357">
        <f>SUM(Q21:S29)</f>
        <v>0</v>
      </c>
      <c r="R30" s="358"/>
      <c r="S30" s="359"/>
      <c r="T30" s="58" t="s">
        <v>211</v>
      </c>
      <c r="U30" s="41"/>
      <c r="V30" s="41"/>
      <c r="W30" s="41"/>
      <c r="X30" s="41"/>
      <c r="Y30" s="41"/>
    </row>
    <row r="31" spans="1:25" s="49" customFormat="1" ht="3.75" customHeight="1">
      <c r="A31" s="68"/>
      <c r="B31" s="69"/>
      <c r="C31" s="69"/>
      <c r="D31" s="69"/>
      <c r="E31" s="69"/>
      <c r="F31" s="69"/>
      <c r="G31" s="69"/>
      <c r="H31" s="69"/>
      <c r="I31" s="69"/>
      <c r="J31" s="69"/>
      <c r="K31" s="69"/>
      <c r="L31" s="69"/>
      <c r="M31" s="69"/>
      <c r="N31" s="69"/>
      <c r="O31" s="69"/>
      <c r="P31" s="69"/>
      <c r="Q31" s="98"/>
      <c r="R31" s="98"/>
      <c r="S31" s="98"/>
      <c r="T31" s="68"/>
      <c r="U31" s="84"/>
      <c r="V31" s="84"/>
      <c r="W31" s="84"/>
      <c r="X31" s="84"/>
      <c r="Y31" s="84"/>
    </row>
    <row r="32" spans="1:25" s="47" customFormat="1" ht="19.5" customHeight="1">
      <c r="A32" s="58">
        <v>5</v>
      </c>
      <c r="B32" s="317" t="s">
        <v>212</v>
      </c>
      <c r="C32" s="317"/>
      <c r="D32" s="317"/>
      <c r="E32" s="317"/>
      <c r="F32" s="317"/>
      <c r="G32" s="317"/>
      <c r="H32" s="317"/>
      <c r="I32" s="317"/>
      <c r="J32" s="317"/>
      <c r="K32" s="99"/>
      <c r="L32" s="57"/>
      <c r="M32" s="57"/>
      <c r="N32" s="57"/>
      <c r="O32" s="57"/>
      <c r="P32" s="57"/>
      <c r="Q32" s="57"/>
      <c r="R32" s="57"/>
      <c r="S32" s="57"/>
      <c r="T32" s="56"/>
      <c r="U32" s="41"/>
      <c r="V32" s="41"/>
      <c r="W32" s="41"/>
      <c r="X32" s="41"/>
      <c r="Y32" s="41"/>
    </row>
    <row r="33" spans="1:25" s="47" customFormat="1" ht="19.5" customHeight="1">
      <c r="A33" s="56"/>
      <c r="B33" s="57"/>
      <c r="C33" s="57"/>
      <c r="D33" s="57"/>
      <c r="E33" s="57"/>
      <c r="F33" s="57"/>
      <c r="G33" s="72"/>
      <c r="H33" s="72"/>
      <c r="I33" s="72"/>
      <c r="J33" s="72" t="s">
        <v>16</v>
      </c>
      <c r="K33" s="352"/>
      <c r="L33" s="352"/>
      <c r="M33" s="352"/>
      <c r="N33" s="57" t="s">
        <v>413</v>
      </c>
      <c r="O33" s="78">
        <v>14.52</v>
      </c>
      <c r="P33" s="72" t="s">
        <v>439</v>
      </c>
      <c r="Q33" s="342">
        <f>K33*O33</f>
        <v>0</v>
      </c>
      <c r="R33" s="342"/>
      <c r="S33" s="342"/>
      <c r="T33" s="58" t="s">
        <v>213</v>
      </c>
      <c r="U33" s="41"/>
      <c r="V33" s="41"/>
      <c r="W33" s="41"/>
      <c r="X33" s="41"/>
      <c r="Y33" s="41"/>
    </row>
    <row r="34" spans="1:25" s="49" customFormat="1" ht="3.75" customHeight="1">
      <c r="A34" s="68"/>
      <c r="B34" s="69"/>
      <c r="C34" s="69"/>
      <c r="D34" s="69"/>
      <c r="E34" s="69"/>
      <c r="F34" s="69"/>
      <c r="G34" s="83"/>
      <c r="H34" s="83"/>
      <c r="I34" s="83"/>
      <c r="J34" s="83"/>
      <c r="K34" s="83"/>
      <c r="L34" s="83"/>
      <c r="M34" s="83"/>
      <c r="N34" s="83"/>
      <c r="O34" s="83"/>
      <c r="P34" s="83"/>
      <c r="Q34" s="83"/>
      <c r="R34" s="83"/>
      <c r="S34" s="83"/>
      <c r="T34" s="68"/>
      <c r="U34" s="84"/>
      <c r="V34" s="84"/>
      <c r="W34" s="84"/>
      <c r="X34" s="84"/>
      <c r="Y34" s="84"/>
    </row>
    <row r="35" spans="1:25" s="47" customFormat="1" ht="19.5" customHeight="1">
      <c r="A35" s="58">
        <v>6</v>
      </c>
      <c r="B35" s="317" t="s">
        <v>364</v>
      </c>
      <c r="C35" s="317"/>
      <c r="D35" s="317"/>
      <c r="E35" s="317"/>
      <c r="F35" s="317"/>
      <c r="G35" s="57"/>
      <c r="H35" s="57"/>
      <c r="I35" s="57"/>
      <c r="J35" s="57"/>
      <c r="K35" s="57"/>
      <c r="L35" s="57"/>
      <c r="M35" s="57"/>
      <c r="N35" s="57"/>
      <c r="O35" s="57"/>
      <c r="P35" s="57"/>
      <c r="Q35" s="57"/>
      <c r="R35" s="57"/>
      <c r="S35" s="57"/>
      <c r="T35" s="56"/>
      <c r="U35" s="41"/>
      <c r="V35" s="41"/>
      <c r="W35" s="41"/>
      <c r="X35" s="41"/>
      <c r="Y35" s="41"/>
    </row>
    <row r="36" spans="1:25" s="47" customFormat="1" ht="19.5" customHeight="1">
      <c r="A36" s="56"/>
      <c r="B36" s="57"/>
      <c r="C36" s="57"/>
      <c r="D36" s="57"/>
      <c r="E36" s="57"/>
      <c r="F36" s="57"/>
      <c r="G36" s="57"/>
      <c r="H36" s="57"/>
      <c r="I36" s="57"/>
      <c r="J36" s="57"/>
      <c r="K36" s="99"/>
      <c r="L36" s="57"/>
      <c r="M36" s="57"/>
      <c r="N36" s="57"/>
      <c r="O36" s="57"/>
      <c r="P36" s="72" t="s">
        <v>348</v>
      </c>
      <c r="Q36" s="342">
        <f>Q8+Q11+Q15+Q30+Q33</f>
        <v>528829.6</v>
      </c>
      <c r="R36" s="342"/>
      <c r="S36" s="342"/>
      <c r="T36" s="58" t="s">
        <v>208</v>
      </c>
      <c r="U36" s="41"/>
      <c r="V36" s="41"/>
      <c r="W36" s="41"/>
      <c r="X36" s="41"/>
      <c r="Y36" s="41"/>
    </row>
    <row r="37" spans="1:25" s="47" customFormat="1" ht="19.5" customHeight="1">
      <c r="A37" s="56"/>
      <c r="B37" s="57"/>
      <c r="C37" s="57"/>
      <c r="D37" s="57"/>
      <c r="E37" s="57"/>
      <c r="F37" s="57"/>
      <c r="G37" s="57"/>
      <c r="H37" s="57"/>
      <c r="I37" s="57"/>
      <c r="J37" s="57"/>
      <c r="K37" s="57"/>
      <c r="L37" s="57"/>
      <c r="M37" s="57"/>
      <c r="N37" s="57"/>
      <c r="O37" s="57"/>
      <c r="P37" s="57"/>
      <c r="Q37" s="57"/>
      <c r="R37" s="57"/>
      <c r="S37" s="72" t="s">
        <v>365</v>
      </c>
      <c r="T37" s="59"/>
      <c r="U37" s="41"/>
      <c r="V37" s="41"/>
      <c r="W37" s="41"/>
      <c r="X37" s="41"/>
      <c r="Y37" s="41"/>
    </row>
    <row r="38" spans="1:25" s="47" customFormat="1" ht="14.25" customHeight="1">
      <c r="A38" s="36"/>
      <c r="B38" s="4"/>
      <c r="C38" s="4"/>
      <c r="D38" s="4"/>
      <c r="E38" s="4"/>
      <c r="F38" s="4"/>
      <c r="G38" s="4"/>
      <c r="H38" s="4"/>
      <c r="I38" s="4"/>
      <c r="J38" s="4"/>
      <c r="K38" s="4"/>
      <c r="L38" s="4"/>
      <c r="M38" s="4"/>
      <c r="N38" s="4"/>
      <c r="O38" s="4"/>
      <c r="P38" s="4"/>
      <c r="Q38" s="4"/>
      <c r="R38" s="4"/>
      <c r="S38" s="4"/>
      <c r="T38" s="36"/>
      <c r="U38" s="41"/>
      <c r="V38" s="41"/>
      <c r="W38" s="41"/>
      <c r="X38" s="41"/>
      <c r="Y38" s="41"/>
    </row>
    <row r="39" spans="1:25" s="47" customFormat="1" ht="14.25" customHeight="1">
      <c r="A39" s="36"/>
      <c r="B39" s="4"/>
      <c r="C39" s="4"/>
      <c r="D39" s="4"/>
      <c r="E39" s="4"/>
      <c r="F39" s="4"/>
      <c r="G39" s="4"/>
      <c r="H39" s="4"/>
      <c r="I39" s="4"/>
      <c r="J39" s="4"/>
      <c r="K39" s="4"/>
      <c r="L39" s="4"/>
      <c r="M39" s="4"/>
      <c r="N39" s="4"/>
      <c r="O39" s="4"/>
      <c r="P39" s="4"/>
      <c r="Q39" s="4"/>
      <c r="R39" s="4"/>
      <c r="S39" s="4"/>
      <c r="T39" s="36"/>
      <c r="U39" s="41"/>
      <c r="V39" s="41"/>
      <c r="W39" s="41"/>
      <c r="X39" s="41"/>
      <c r="Y39" s="41"/>
    </row>
    <row r="40" spans="1:25" s="47" customFormat="1" ht="14.25" customHeight="1">
      <c r="A40" s="36"/>
      <c r="B40" s="4"/>
      <c r="C40" s="4"/>
      <c r="D40" s="4"/>
      <c r="E40" s="4"/>
      <c r="F40" s="4"/>
      <c r="G40" s="4"/>
      <c r="H40" s="4"/>
      <c r="I40" s="4"/>
      <c r="J40" s="4"/>
      <c r="K40" s="4"/>
      <c r="L40" s="4"/>
      <c r="M40" s="4"/>
      <c r="N40" s="4"/>
      <c r="O40" s="4"/>
      <c r="P40" s="4"/>
      <c r="Q40" s="4"/>
      <c r="R40" s="4"/>
      <c r="S40" s="4"/>
      <c r="T40" s="36"/>
      <c r="U40" s="41"/>
      <c r="V40" s="41"/>
      <c r="W40" s="41"/>
      <c r="X40" s="41"/>
      <c r="Y40" s="41"/>
    </row>
    <row r="41" spans="1:25" s="47" customFormat="1" ht="14.25" customHeight="1">
      <c r="A41" s="36"/>
      <c r="B41" s="4"/>
      <c r="C41" s="4"/>
      <c r="D41" s="88"/>
      <c r="E41" s="4"/>
      <c r="F41" s="4"/>
      <c r="G41" s="4"/>
      <c r="H41" s="4"/>
      <c r="I41" s="4"/>
      <c r="J41" s="4"/>
      <c r="K41" s="4"/>
      <c r="L41" s="4"/>
      <c r="M41" s="4"/>
      <c r="N41" s="4"/>
      <c r="O41" s="4"/>
      <c r="P41" s="100"/>
      <c r="Q41" s="4"/>
      <c r="R41" s="4"/>
      <c r="S41" s="4"/>
      <c r="T41" s="36"/>
      <c r="U41" s="41"/>
      <c r="V41" s="41"/>
      <c r="W41" s="41"/>
      <c r="X41" s="41"/>
      <c r="Y41" s="41"/>
    </row>
    <row r="42" spans="1:25" s="47" customFormat="1" ht="14.25" customHeight="1">
      <c r="A42" s="36"/>
      <c r="B42" s="4"/>
      <c r="C42" s="4"/>
      <c r="D42" s="88"/>
      <c r="E42" s="4"/>
      <c r="F42" s="4"/>
      <c r="G42" s="4"/>
      <c r="H42" s="4"/>
      <c r="I42" s="4"/>
      <c r="J42" s="4"/>
      <c r="K42" s="4"/>
      <c r="L42" s="4"/>
      <c r="M42" s="4"/>
      <c r="N42" s="4"/>
      <c r="O42" s="4"/>
      <c r="P42" s="100"/>
      <c r="Q42" s="4"/>
      <c r="R42" s="4"/>
      <c r="S42" s="4"/>
      <c r="T42" s="36"/>
      <c r="U42" s="41"/>
      <c r="V42" s="41"/>
      <c r="W42" s="41"/>
      <c r="X42" s="41"/>
      <c r="Y42" s="41"/>
    </row>
    <row r="43" spans="1:25" s="47" customFormat="1" ht="14.25" customHeight="1">
      <c r="A43" s="36"/>
      <c r="B43" s="4"/>
      <c r="C43" s="4"/>
      <c r="D43" s="88"/>
      <c r="E43" s="4"/>
      <c r="F43" s="4"/>
      <c r="G43" s="4"/>
      <c r="H43" s="4"/>
      <c r="I43" s="4"/>
      <c r="J43" s="4"/>
      <c r="K43" s="4"/>
      <c r="L43" s="4"/>
      <c r="M43" s="4"/>
      <c r="N43" s="4"/>
      <c r="O43" s="4"/>
      <c r="P43" s="100"/>
      <c r="Q43" s="4"/>
      <c r="R43" s="4"/>
      <c r="S43" s="4"/>
      <c r="T43" s="36"/>
      <c r="U43" s="41"/>
      <c r="V43" s="41"/>
      <c r="W43" s="41"/>
      <c r="X43" s="41"/>
      <c r="Y43" s="41"/>
    </row>
    <row r="44" spans="1:25" s="47" customFormat="1" ht="14.25" customHeight="1">
      <c r="A44" s="4"/>
      <c r="B44" s="4"/>
      <c r="C44" s="4"/>
      <c r="D44" s="4"/>
      <c r="E44" s="4"/>
      <c r="F44" s="4"/>
      <c r="G44" s="4"/>
      <c r="H44" s="4"/>
      <c r="I44" s="4"/>
      <c r="J44" s="4"/>
      <c r="K44" s="4"/>
      <c r="L44" s="4"/>
      <c r="M44" s="4"/>
      <c r="N44" s="4"/>
      <c r="O44" s="4"/>
      <c r="P44" s="4"/>
      <c r="Q44" s="89"/>
      <c r="R44" s="89"/>
      <c r="S44" s="89"/>
      <c r="T44" s="36"/>
      <c r="U44" s="41"/>
      <c r="V44" s="41"/>
      <c r="W44" s="41"/>
      <c r="X44" s="41"/>
      <c r="Y44" s="41"/>
    </row>
    <row r="45" spans="1:25" s="47" customFormat="1" ht="14.25" customHeight="1">
      <c r="A45" s="4"/>
      <c r="B45" s="4"/>
      <c r="C45" s="4"/>
      <c r="D45" s="4"/>
      <c r="E45" s="4"/>
      <c r="F45" s="4"/>
      <c r="G45" s="4"/>
      <c r="H45" s="4"/>
      <c r="I45" s="4"/>
      <c r="J45" s="4"/>
      <c r="K45" s="4"/>
      <c r="L45" s="4"/>
      <c r="M45" s="4"/>
      <c r="N45" s="4"/>
      <c r="O45" s="4"/>
      <c r="P45" s="4"/>
      <c r="Q45" s="89"/>
      <c r="R45" s="89"/>
      <c r="S45" s="89"/>
      <c r="T45" s="36"/>
      <c r="U45" s="41"/>
      <c r="V45" s="41"/>
      <c r="W45" s="41"/>
      <c r="X45" s="41"/>
      <c r="Y45" s="41"/>
    </row>
    <row r="46" spans="1:25" s="47" customFormat="1" ht="14.25" customHeight="1">
      <c r="A46" s="4"/>
      <c r="B46" s="4"/>
      <c r="C46" s="4"/>
      <c r="D46" s="4"/>
      <c r="E46" s="4"/>
      <c r="F46" s="4"/>
      <c r="G46" s="4"/>
      <c r="H46" s="4"/>
      <c r="I46" s="4"/>
      <c r="J46" s="4"/>
      <c r="K46" s="4"/>
      <c r="L46" s="4"/>
      <c r="M46" s="4"/>
      <c r="N46" s="4"/>
      <c r="O46" s="4"/>
      <c r="P46" s="4"/>
      <c r="Q46" s="101"/>
      <c r="R46" s="101"/>
      <c r="S46" s="101"/>
      <c r="T46" s="36"/>
      <c r="U46" s="41"/>
      <c r="V46" s="41"/>
      <c r="W46" s="41"/>
      <c r="X46" s="41"/>
      <c r="Y46" s="41"/>
    </row>
    <row r="47" spans="1:25" s="47" customFormat="1" ht="14.25" customHeight="1">
      <c r="A47" s="4"/>
      <c r="B47" s="4"/>
      <c r="C47" s="4"/>
      <c r="D47" s="4"/>
      <c r="E47" s="4"/>
      <c r="F47" s="4"/>
      <c r="G47" s="4"/>
      <c r="H47" s="4"/>
      <c r="I47" s="4"/>
      <c r="J47" s="4"/>
      <c r="K47" s="4"/>
      <c r="L47" s="4"/>
      <c r="M47" s="4"/>
      <c r="N47" s="4"/>
      <c r="O47" s="4"/>
      <c r="P47" s="4"/>
      <c r="Q47" s="101"/>
      <c r="R47" s="101"/>
      <c r="S47" s="101"/>
      <c r="T47" s="36"/>
      <c r="U47" s="41"/>
      <c r="V47" s="41"/>
      <c r="W47" s="41"/>
      <c r="X47" s="41"/>
      <c r="Y47" s="41"/>
    </row>
    <row r="48" spans="1:25" s="47" customFormat="1" ht="11.25">
      <c r="A48" s="41"/>
      <c r="B48" s="41"/>
      <c r="C48" s="41"/>
      <c r="D48" s="41"/>
      <c r="E48" s="41"/>
      <c r="F48" s="41"/>
      <c r="G48" s="41"/>
      <c r="H48" s="41"/>
      <c r="I48" s="41"/>
      <c r="J48" s="41"/>
      <c r="K48" s="41"/>
      <c r="L48" s="41"/>
      <c r="M48" s="41"/>
      <c r="N48" s="41"/>
      <c r="O48" s="41"/>
      <c r="P48" s="41"/>
      <c r="Q48" s="41"/>
      <c r="R48" s="41"/>
      <c r="S48" s="41"/>
      <c r="T48" s="54"/>
      <c r="U48" s="41"/>
      <c r="V48" s="41"/>
      <c r="W48" s="41"/>
      <c r="X48" s="41"/>
      <c r="Y48" s="41"/>
    </row>
    <row r="49" spans="1:25" s="38" customFormat="1">
      <c r="A49" s="41">
        <v>0</v>
      </c>
      <c r="B49" s="41"/>
      <c r="C49" s="41"/>
      <c r="D49" s="41"/>
      <c r="E49" s="41"/>
      <c r="F49" s="41"/>
      <c r="G49" s="41"/>
      <c r="H49" s="41"/>
      <c r="I49" s="41"/>
      <c r="J49" s="41"/>
      <c r="K49" s="41"/>
      <c r="L49" s="41"/>
      <c r="M49" s="41"/>
      <c r="N49" s="41"/>
      <c r="O49" s="41"/>
      <c r="P49" s="41"/>
      <c r="Q49" s="41"/>
      <c r="R49" s="41"/>
      <c r="S49" s="41"/>
      <c r="T49" s="54"/>
      <c r="U49" s="41"/>
      <c r="V49" s="41"/>
      <c r="W49" s="41"/>
      <c r="X49" s="41"/>
      <c r="Y49" s="41"/>
    </row>
    <row r="50" spans="1:25" s="38" customFormat="1">
      <c r="A50" s="41">
        <v>1</v>
      </c>
      <c r="B50" s="41"/>
      <c r="C50" s="41"/>
      <c r="D50" s="41"/>
      <c r="E50" s="41"/>
      <c r="F50" s="41"/>
      <c r="G50" s="41"/>
      <c r="H50" s="41"/>
      <c r="I50" s="41"/>
      <c r="J50" s="41"/>
      <c r="K50" s="41"/>
      <c r="L50" s="41"/>
      <c r="M50" s="41"/>
      <c r="N50" s="41"/>
      <c r="O50" s="41"/>
      <c r="P50" s="41"/>
      <c r="Q50" s="41"/>
      <c r="R50" s="41"/>
      <c r="S50" s="41"/>
      <c r="T50" s="54"/>
      <c r="U50" s="41"/>
      <c r="V50" s="41"/>
      <c r="W50" s="41"/>
      <c r="X50" s="41"/>
      <c r="Y50" s="41"/>
    </row>
    <row r="51" spans="1:25" s="38" customFormat="1">
      <c r="A51" s="41">
        <v>2</v>
      </c>
      <c r="B51" s="41"/>
      <c r="C51" s="41"/>
      <c r="D51" s="41"/>
      <c r="E51" s="41"/>
      <c r="F51" s="41"/>
      <c r="G51" s="41"/>
      <c r="H51" s="41"/>
      <c r="I51" s="41"/>
      <c r="J51" s="41"/>
      <c r="K51" s="41"/>
      <c r="L51" s="41"/>
      <c r="M51" s="41"/>
      <c r="N51" s="41"/>
      <c r="O51" s="41"/>
      <c r="P51" s="41"/>
      <c r="Q51" s="41"/>
      <c r="R51" s="41"/>
      <c r="S51" s="41"/>
      <c r="T51" s="54"/>
      <c r="U51" s="41"/>
      <c r="V51" s="41"/>
      <c r="W51" s="41"/>
      <c r="X51" s="41"/>
      <c r="Y51" s="41"/>
    </row>
    <row r="52" spans="1:25" s="38" customFormat="1">
      <c r="A52" s="41">
        <v>3</v>
      </c>
      <c r="B52" s="41"/>
      <c r="C52" s="41"/>
      <c r="D52" s="41"/>
      <c r="E52" s="41"/>
      <c r="F52" s="41"/>
      <c r="G52" s="41"/>
      <c r="H52" s="41"/>
      <c r="I52" s="41"/>
      <c r="J52" s="41"/>
      <c r="K52" s="41"/>
      <c r="L52" s="41"/>
      <c r="M52" s="41"/>
      <c r="N52" s="41"/>
      <c r="O52" s="41"/>
      <c r="P52" s="41"/>
      <c r="Q52" s="41"/>
      <c r="R52" s="41"/>
      <c r="S52" s="41"/>
      <c r="T52" s="54"/>
      <c r="U52" s="41"/>
      <c r="V52" s="41"/>
      <c r="W52" s="41"/>
      <c r="X52" s="41"/>
      <c r="Y52" s="41"/>
    </row>
    <row r="53" spans="1:25" s="38" customFormat="1">
      <c r="A53" s="41">
        <v>4</v>
      </c>
      <c r="B53" s="41"/>
      <c r="C53" s="41"/>
      <c r="D53" s="41"/>
      <c r="E53" s="41"/>
      <c r="F53" s="41"/>
      <c r="G53" s="41"/>
      <c r="H53" s="41"/>
      <c r="I53" s="41"/>
      <c r="J53" s="41"/>
      <c r="K53" s="41"/>
      <c r="L53" s="41"/>
      <c r="M53" s="41"/>
      <c r="N53" s="41"/>
      <c r="O53" s="41"/>
      <c r="P53" s="41"/>
      <c r="Q53" s="41"/>
      <c r="R53" s="41"/>
      <c r="S53" s="41"/>
      <c r="T53" s="54"/>
      <c r="U53" s="41"/>
      <c r="V53" s="41"/>
      <c r="W53" s="41"/>
      <c r="X53" s="41"/>
      <c r="Y53" s="41"/>
    </row>
    <row r="54" spans="1:25" s="38" customFormat="1">
      <c r="A54" s="41">
        <v>5</v>
      </c>
      <c r="B54" s="41"/>
      <c r="C54" s="41"/>
      <c r="D54" s="41"/>
      <c r="E54" s="41"/>
      <c r="F54" s="41"/>
      <c r="G54" s="41"/>
      <c r="H54" s="41"/>
      <c r="I54" s="41"/>
      <c r="J54" s="41"/>
      <c r="K54" s="41"/>
      <c r="L54" s="41"/>
      <c r="M54" s="41"/>
      <c r="N54" s="41"/>
      <c r="O54" s="41"/>
      <c r="P54" s="41"/>
      <c r="Q54" s="41"/>
      <c r="R54" s="41"/>
      <c r="S54" s="41"/>
      <c r="T54" s="54"/>
      <c r="U54" s="41"/>
      <c r="V54" s="41"/>
      <c r="W54" s="41"/>
      <c r="X54" s="41"/>
      <c r="Y54" s="41"/>
    </row>
    <row r="55" spans="1:25" s="38" customFormat="1">
      <c r="A55" s="41">
        <v>6</v>
      </c>
      <c r="B55" s="41"/>
      <c r="C55" s="41"/>
      <c r="D55" s="41"/>
      <c r="E55" s="41"/>
      <c r="F55" s="41"/>
      <c r="G55" s="41"/>
      <c r="H55" s="41"/>
      <c r="I55" s="41"/>
      <c r="J55" s="41"/>
      <c r="K55" s="41"/>
      <c r="L55" s="41"/>
      <c r="M55" s="41"/>
      <c r="N55" s="41"/>
      <c r="O55" s="41"/>
      <c r="P55" s="41"/>
      <c r="Q55" s="41"/>
      <c r="R55" s="41"/>
      <c r="S55" s="41"/>
      <c r="T55" s="54"/>
      <c r="U55" s="41"/>
      <c r="V55" s="41"/>
      <c r="W55" s="41"/>
      <c r="X55" s="41"/>
      <c r="Y55" s="41"/>
    </row>
    <row r="56" spans="1:25" s="38" customFormat="1">
      <c r="A56" s="41">
        <v>7</v>
      </c>
      <c r="B56" s="41"/>
      <c r="C56" s="41"/>
      <c r="D56" s="41"/>
      <c r="E56" s="41"/>
      <c r="F56" s="41"/>
      <c r="G56" s="41"/>
      <c r="H56" s="41"/>
      <c r="I56" s="41"/>
      <c r="J56" s="41"/>
      <c r="K56" s="41"/>
      <c r="L56" s="41"/>
      <c r="M56" s="41"/>
      <c r="N56" s="41"/>
      <c r="O56" s="41"/>
      <c r="P56" s="41"/>
      <c r="Q56" s="41"/>
      <c r="R56" s="41"/>
      <c r="S56" s="41"/>
      <c r="T56" s="54"/>
      <c r="U56" s="41"/>
      <c r="V56" s="41"/>
      <c r="W56" s="41"/>
      <c r="X56" s="41"/>
      <c r="Y56" s="41"/>
    </row>
    <row r="57" spans="1:25" s="38" customFormat="1">
      <c r="A57" s="41">
        <v>8</v>
      </c>
      <c r="B57" s="41"/>
      <c r="C57" s="41"/>
      <c r="D57" s="41"/>
      <c r="E57" s="41"/>
      <c r="F57" s="41"/>
      <c r="G57" s="41"/>
      <c r="H57" s="41"/>
      <c r="I57" s="41"/>
      <c r="J57" s="41"/>
      <c r="K57" s="41"/>
      <c r="L57" s="41"/>
      <c r="M57" s="41"/>
      <c r="N57" s="41"/>
      <c r="O57" s="41"/>
      <c r="P57" s="41"/>
      <c r="Q57" s="41"/>
      <c r="R57" s="41"/>
      <c r="S57" s="41"/>
      <c r="T57" s="54"/>
      <c r="U57" s="41"/>
      <c r="V57" s="41"/>
      <c r="W57" s="41"/>
      <c r="X57" s="41"/>
      <c r="Y57" s="41"/>
    </row>
    <row r="58" spans="1:25" s="38" customFormat="1">
      <c r="A58" s="41">
        <v>9</v>
      </c>
      <c r="B58" s="41"/>
      <c r="C58" s="41"/>
      <c r="D58" s="41"/>
      <c r="E58" s="41"/>
      <c r="F58" s="41"/>
      <c r="G58" s="41"/>
      <c r="H58" s="41"/>
      <c r="I58" s="41"/>
      <c r="J58" s="41"/>
      <c r="K58" s="41"/>
      <c r="L58" s="41"/>
      <c r="M58" s="41"/>
      <c r="N58" s="41"/>
      <c r="O58" s="41"/>
      <c r="P58" s="41"/>
      <c r="Q58" s="41"/>
      <c r="R58" s="41"/>
      <c r="S58" s="41"/>
      <c r="T58" s="54"/>
      <c r="U58" s="41"/>
      <c r="V58" s="41"/>
      <c r="W58" s="41"/>
      <c r="X58" s="41"/>
      <c r="Y58" s="41"/>
    </row>
    <row r="59" spans="1:25" s="38" customFormat="1">
      <c r="A59" s="41">
        <v>10</v>
      </c>
      <c r="B59" s="41"/>
      <c r="C59" s="41"/>
      <c r="D59" s="41"/>
      <c r="E59" s="41"/>
      <c r="F59" s="41"/>
      <c r="G59" s="41"/>
      <c r="H59" s="41"/>
      <c r="I59" s="41"/>
      <c r="J59" s="41"/>
      <c r="K59" s="41"/>
      <c r="L59" s="41"/>
      <c r="M59" s="41"/>
      <c r="N59" s="41"/>
      <c r="O59" s="41"/>
      <c r="P59" s="41"/>
      <c r="Q59" s="41"/>
      <c r="R59" s="41"/>
      <c r="S59" s="41"/>
      <c r="T59" s="54"/>
      <c r="U59" s="41"/>
      <c r="V59" s="41"/>
      <c r="W59" s="41"/>
      <c r="X59" s="41"/>
      <c r="Y59" s="41"/>
    </row>
    <row r="60" spans="1:25" s="38" customFormat="1">
      <c r="A60" s="41">
        <v>11</v>
      </c>
      <c r="B60" s="41"/>
      <c r="C60" s="41"/>
      <c r="D60" s="41"/>
      <c r="E60" s="41"/>
      <c r="F60" s="41"/>
      <c r="G60" s="41"/>
      <c r="H60" s="41"/>
      <c r="I60" s="41"/>
      <c r="J60" s="41"/>
      <c r="K60" s="41"/>
      <c r="L60" s="41"/>
      <c r="M60" s="41"/>
      <c r="N60" s="41"/>
      <c r="O60" s="41"/>
      <c r="P60" s="41"/>
      <c r="Q60" s="41"/>
      <c r="R60" s="41"/>
      <c r="S60" s="41"/>
      <c r="T60" s="54"/>
      <c r="U60" s="41"/>
      <c r="V60" s="41"/>
      <c r="W60" s="41"/>
      <c r="X60" s="41"/>
      <c r="Y60" s="41"/>
    </row>
    <row r="61" spans="1:25" s="38" customFormat="1">
      <c r="A61" s="41">
        <v>12</v>
      </c>
      <c r="B61" s="41"/>
      <c r="C61" s="41"/>
      <c r="D61" s="41"/>
      <c r="E61" s="41"/>
      <c r="F61" s="41"/>
      <c r="G61" s="41"/>
      <c r="H61" s="41"/>
      <c r="I61" s="41"/>
      <c r="J61" s="41"/>
      <c r="K61" s="41"/>
      <c r="L61" s="41"/>
      <c r="M61" s="41"/>
      <c r="N61" s="41"/>
      <c r="O61" s="41"/>
      <c r="P61" s="41"/>
      <c r="Q61" s="41"/>
      <c r="R61" s="41"/>
      <c r="S61" s="41"/>
      <c r="T61" s="54"/>
      <c r="U61" s="41"/>
      <c r="V61" s="41"/>
      <c r="W61" s="41"/>
      <c r="X61" s="41"/>
      <c r="Y61" s="41"/>
    </row>
    <row r="62" spans="1:25" s="38" customFormat="1">
      <c r="A62" s="41">
        <v>13</v>
      </c>
      <c r="B62" s="41"/>
      <c r="C62" s="41"/>
      <c r="D62" s="41"/>
      <c r="E62" s="41"/>
      <c r="F62" s="41"/>
      <c r="G62" s="41"/>
      <c r="H62" s="41"/>
      <c r="I62" s="41"/>
      <c r="J62" s="41"/>
      <c r="K62" s="41"/>
      <c r="L62" s="41"/>
      <c r="M62" s="41"/>
      <c r="N62" s="41"/>
      <c r="O62" s="41"/>
      <c r="P62" s="41"/>
      <c r="Q62" s="41"/>
      <c r="R62" s="41"/>
      <c r="S62" s="41"/>
      <c r="T62" s="54"/>
      <c r="U62" s="41"/>
      <c r="V62" s="41"/>
      <c r="W62" s="41"/>
      <c r="X62" s="41"/>
      <c r="Y62" s="41"/>
    </row>
    <row r="63" spans="1:25" s="38" customFormat="1">
      <c r="A63" s="41">
        <v>14</v>
      </c>
      <c r="B63" s="41"/>
      <c r="C63" s="41"/>
      <c r="D63" s="41"/>
      <c r="E63" s="41"/>
      <c r="F63" s="41"/>
      <c r="G63" s="41"/>
      <c r="H63" s="41"/>
      <c r="I63" s="41"/>
      <c r="J63" s="41"/>
      <c r="K63" s="41"/>
      <c r="L63" s="41"/>
      <c r="M63" s="41"/>
      <c r="N63" s="41"/>
      <c r="O63" s="41"/>
      <c r="P63" s="41"/>
      <c r="Q63" s="41"/>
      <c r="R63" s="41"/>
      <c r="S63" s="41"/>
      <c r="T63" s="54"/>
      <c r="U63" s="41"/>
      <c r="V63" s="41"/>
      <c r="W63" s="41"/>
      <c r="X63" s="41"/>
      <c r="Y63" s="41"/>
    </row>
    <row r="64" spans="1:25" s="38" customFormat="1">
      <c r="A64" s="41">
        <v>15</v>
      </c>
      <c r="B64" s="41"/>
      <c r="C64" s="41"/>
      <c r="D64" s="41"/>
      <c r="E64" s="41"/>
      <c r="F64" s="41"/>
      <c r="G64" s="41"/>
      <c r="H64" s="41"/>
      <c r="I64" s="41"/>
      <c r="J64" s="41"/>
      <c r="K64" s="41"/>
      <c r="L64" s="41"/>
      <c r="M64" s="41"/>
      <c r="N64" s="41"/>
      <c r="O64" s="41"/>
      <c r="P64" s="41"/>
      <c r="Q64" s="41"/>
      <c r="R64" s="41"/>
      <c r="S64" s="41"/>
      <c r="T64" s="54"/>
      <c r="U64" s="41"/>
      <c r="V64" s="41"/>
      <c r="W64" s="41"/>
      <c r="X64" s="41"/>
      <c r="Y64" s="41"/>
    </row>
    <row r="65" spans="1:25" s="38" customFormat="1">
      <c r="A65" s="41">
        <v>16</v>
      </c>
      <c r="B65" s="41"/>
      <c r="C65" s="41"/>
      <c r="D65" s="41"/>
      <c r="E65" s="41"/>
      <c r="F65" s="41"/>
      <c r="G65" s="41"/>
      <c r="H65" s="41"/>
      <c r="I65" s="41"/>
      <c r="J65" s="41"/>
      <c r="K65" s="41"/>
      <c r="L65" s="41"/>
      <c r="M65" s="41"/>
      <c r="N65" s="41"/>
      <c r="O65" s="41"/>
      <c r="P65" s="41"/>
      <c r="Q65" s="41"/>
      <c r="R65" s="41"/>
      <c r="S65" s="41"/>
      <c r="T65" s="54"/>
      <c r="U65" s="41"/>
      <c r="V65" s="41"/>
      <c r="W65" s="41"/>
      <c r="X65" s="41"/>
      <c r="Y65" s="41"/>
    </row>
    <row r="66" spans="1:25" s="38" customFormat="1">
      <c r="A66" s="41">
        <v>17</v>
      </c>
      <c r="B66" s="41"/>
      <c r="C66" s="41"/>
      <c r="D66" s="41"/>
      <c r="E66" s="41"/>
      <c r="F66" s="41"/>
      <c r="G66" s="41"/>
      <c r="H66" s="41"/>
      <c r="I66" s="41"/>
      <c r="J66" s="41"/>
      <c r="K66" s="41"/>
      <c r="L66" s="41"/>
      <c r="M66" s="41"/>
      <c r="N66" s="41"/>
      <c r="O66" s="41"/>
      <c r="P66" s="41"/>
      <c r="Q66" s="41"/>
      <c r="R66" s="41"/>
      <c r="S66" s="41"/>
      <c r="T66" s="54"/>
      <c r="U66" s="41"/>
      <c r="V66" s="41"/>
      <c r="W66" s="41"/>
      <c r="X66" s="41"/>
      <c r="Y66" s="41"/>
    </row>
    <row r="67" spans="1:25" s="38" customFormat="1">
      <c r="A67" s="41">
        <v>18</v>
      </c>
      <c r="B67" s="41"/>
      <c r="C67" s="41"/>
      <c r="D67" s="41"/>
      <c r="E67" s="41"/>
      <c r="F67" s="41"/>
      <c r="G67" s="41"/>
      <c r="H67" s="41"/>
      <c r="I67" s="41"/>
      <c r="J67" s="41"/>
      <c r="K67" s="41"/>
      <c r="L67" s="41"/>
      <c r="M67" s="41"/>
      <c r="N67" s="41"/>
      <c r="O67" s="41"/>
      <c r="P67" s="41"/>
      <c r="Q67" s="41"/>
      <c r="R67" s="41"/>
      <c r="S67" s="41"/>
      <c r="T67" s="54"/>
      <c r="U67" s="41"/>
      <c r="V67" s="41"/>
      <c r="W67" s="41"/>
      <c r="X67" s="41"/>
      <c r="Y67" s="41"/>
    </row>
    <row r="68" spans="1:25" s="38" customFormat="1">
      <c r="A68" s="41">
        <v>19</v>
      </c>
      <c r="B68" s="41"/>
      <c r="C68" s="41"/>
      <c r="D68" s="41"/>
      <c r="E68" s="41"/>
      <c r="F68" s="41"/>
      <c r="G68" s="41"/>
      <c r="H68" s="41"/>
      <c r="I68" s="41"/>
      <c r="J68" s="41"/>
      <c r="K68" s="41"/>
      <c r="L68" s="41"/>
      <c r="M68" s="41"/>
      <c r="N68" s="41"/>
      <c r="O68" s="41"/>
      <c r="P68" s="41"/>
      <c r="Q68" s="41"/>
      <c r="R68" s="41"/>
      <c r="S68" s="41"/>
      <c r="T68" s="54"/>
      <c r="U68" s="41"/>
      <c r="V68" s="41"/>
      <c r="W68" s="41"/>
      <c r="X68" s="41"/>
      <c r="Y68" s="41"/>
    </row>
    <row r="69" spans="1:25" s="38" customFormat="1">
      <c r="A69" s="41">
        <v>20</v>
      </c>
      <c r="B69" s="41"/>
      <c r="C69" s="41"/>
      <c r="D69" s="41"/>
      <c r="E69" s="41"/>
      <c r="F69" s="41"/>
      <c r="G69" s="41"/>
      <c r="H69" s="41"/>
      <c r="I69" s="41"/>
      <c r="J69" s="41"/>
      <c r="K69" s="41"/>
      <c r="L69" s="41"/>
      <c r="M69" s="41"/>
      <c r="N69" s="41"/>
      <c r="O69" s="41"/>
      <c r="P69" s="41"/>
      <c r="Q69" s="41"/>
      <c r="R69" s="41"/>
      <c r="S69" s="41"/>
      <c r="T69" s="54"/>
      <c r="U69" s="41"/>
      <c r="V69" s="41"/>
      <c r="W69" s="41"/>
      <c r="X69" s="41"/>
      <c r="Y69" s="41"/>
    </row>
    <row r="70" spans="1:25" s="38" customFormat="1">
      <c r="A70" s="41">
        <v>21</v>
      </c>
      <c r="B70" s="41"/>
      <c r="C70" s="41"/>
      <c r="D70" s="41"/>
      <c r="E70" s="41"/>
      <c r="F70" s="41"/>
      <c r="G70" s="41"/>
      <c r="H70" s="41"/>
      <c r="I70" s="41"/>
      <c r="J70" s="41"/>
      <c r="K70" s="41"/>
      <c r="L70" s="41"/>
      <c r="M70" s="41"/>
      <c r="N70" s="41"/>
      <c r="O70" s="41"/>
      <c r="P70" s="41"/>
      <c r="Q70" s="41"/>
      <c r="R70" s="41"/>
      <c r="S70" s="41"/>
      <c r="T70" s="54"/>
      <c r="U70" s="41"/>
      <c r="V70" s="41"/>
      <c r="W70" s="41"/>
      <c r="X70" s="41"/>
      <c r="Y70" s="41"/>
    </row>
    <row r="71" spans="1:25" s="38" customFormat="1">
      <c r="A71" s="41">
        <v>22</v>
      </c>
      <c r="B71" s="41"/>
      <c r="C71" s="41"/>
      <c r="D71" s="41"/>
      <c r="E71" s="41"/>
      <c r="F71" s="41"/>
      <c r="G71" s="41"/>
      <c r="H71" s="41"/>
      <c r="I71" s="41"/>
      <c r="J71" s="41"/>
      <c r="K71" s="41"/>
      <c r="L71" s="41"/>
      <c r="M71" s="41"/>
      <c r="N71" s="41"/>
      <c r="O71" s="41"/>
      <c r="P71" s="41"/>
      <c r="Q71" s="41"/>
      <c r="R71" s="41"/>
      <c r="S71" s="41"/>
      <c r="T71" s="54"/>
      <c r="U71" s="41"/>
      <c r="V71" s="41"/>
      <c r="W71" s="41"/>
      <c r="X71" s="41"/>
      <c r="Y71" s="41"/>
    </row>
    <row r="72" spans="1:25">
      <c r="A72" s="41">
        <v>23</v>
      </c>
      <c r="B72" s="90"/>
      <c r="C72" s="90"/>
      <c r="D72" s="90"/>
      <c r="E72" s="90"/>
      <c r="F72" s="90"/>
      <c r="G72" s="90"/>
      <c r="H72" s="90"/>
      <c r="I72" s="90"/>
      <c r="J72" s="90"/>
      <c r="K72" s="90"/>
      <c r="L72" s="90"/>
      <c r="M72" s="90"/>
      <c r="N72" s="90"/>
      <c r="O72" s="90"/>
      <c r="P72" s="90"/>
      <c r="Q72" s="90"/>
      <c r="R72" s="90"/>
      <c r="S72" s="90"/>
      <c r="T72" s="79"/>
      <c r="U72" s="90"/>
      <c r="V72" s="90"/>
      <c r="W72" s="90"/>
      <c r="X72" s="90"/>
      <c r="Y72" s="90"/>
    </row>
    <row r="73" spans="1:25">
      <c r="A73" s="41">
        <v>24</v>
      </c>
      <c r="B73" s="90"/>
      <c r="C73" s="90"/>
      <c r="D73" s="90"/>
      <c r="E73" s="90"/>
      <c r="F73" s="90"/>
      <c r="G73" s="90"/>
      <c r="H73" s="90"/>
      <c r="I73" s="90"/>
      <c r="J73" s="90"/>
      <c r="K73" s="90"/>
      <c r="L73" s="90"/>
      <c r="M73" s="90"/>
      <c r="N73" s="90"/>
      <c r="O73" s="90"/>
      <c r="P73" s="90"/>
      <c r="Q73" s="90"/>
      <c r="R73" s="90"/>
      <c r="S73" s="90"/>
      <c r="T73" s="79"/>
      <c r="U73" s="90"/>
      <c r="V73" s="90"/>
      <c r="W73" s="90"/>
      <c r="X73" s="90"/>
      <c r="Y73" s="90"/>
    </row>
    <row r="74" spans="1:25">
      <c r="A74" s="41">
        <v>25</v>
      </c>
      <c r="B74" s="90"/>
      <c r="C74" s="90"/>
      <c r="D74" s="90"/>
      <c r="E74" s="90"/>
      <c r="F74" s="90"/>
      <c r="G74" s="90"/>
      <c r="H74" s="90"/>
      <c r="I74" s="90"/>
      <c r="J74" s="90"/>
      <c r="K74" s="90"/>
      <c r="L74" s="90"/>
      <c r="M74" s="90"/>
      <c r="N74" s="90"/>
      <c r="O74" s="90"/>
      <c r="P74" s="90"/>
      <c r="Q74" s="90"/>
      <c r="R74" s="90"/>
      <c r="S74" s="90"/>
      <c r="T74" s="79"/>
      <c r="U74" s="90"/>
      <c r="V74" s="90"/>
      <c r="W74" s="90"/>
      <c r="X74" s="90"/>
      <c r="Y74" s="90"/>
    </row>
    <row r="75" spans="1:25">
      <c r="A75" s="41">
        <v>26</v>
      </c>
      <c r="B75" s="90"/>
      <c r="C75" s="90"/>
      <c r="D75" s="90"/>
      <c r="E75" s="90"/>
      <c r="F75" s="90"/>
      <c r="G75" s="90"/>
      <c r="H75" s="90"/>
      <c r="I75" s="90"/>
      <c r="J75" s="90"/>
      <c r="K75" s="90"/>
      <c r="L75" s="90"/>
      <c r="M75" s="90"/>
      <c r="N75" s="90"/>
      <c r="O75" s="90"/>
      <c r="P75" s="90"/>
      <c r="Q75" s="90"/>
      <c r="R75" s="90"/>
      <c r="S75" s="90"/>
      <c r="T75" s="79"/>
      <c r="U75" s="90"/>
      <c r="V75" s="90"/>
      <c r="W75" s="90"/>
      <c r="X75" s="90"/>
      <c r="Y75" s="90"/>
    </row>
    <row r="76" spans="1:25">
      <c r="A76" s="41">
        <v>27</v>
      </c>
      <c r="B76" s="90"/>
      <c r="C76" s="90"/>
      <c r="D76" s="90"/>
      <c r="E76" s="90"/>
      <c r="F76" s="90"/>
      <c r="G76" s="90"/>
      <c r="H76" s="90"/>
      <c r="I76" s="90"/>
      <c r="J76" s="90"/>
      <c r="K76" s="90"/>
      <c r="L76" s="90"/>
      <c r="M76" s="90"/>
      <c r="N76" s="90"/>
      <c r="O76" s="90"/>
      <c r="P76" s="90"/>
      <c r="Q76" s="90"/>
      <c r="R76" s="90"/>
      <c r="S76" s="90"/>
      <c r="T76" s="79"/>
      <c r="U76" s="90"/>
      <c r="V76" s="90"/>
      <c r="W76" s="90"/>
      <c r="X76" s="90"/>
      <c r="Y76" s="90"/>
    </row>
    <row r="77" spans="1:25">
      <c r="A77" s="41">
        <v>28</v>
      </c>
      <c r="B77" s="90"/>
      <c r="C77" s="90"/>
      <c r="D77" s="90"/>
      <c r="E77" s="90"/>
      <c r="F77" s="90"/>
      <c r="G77" s="90"/>
      <c r="H77" s="90"/>
      <c r="I77" s="90"/>
      <c r="J77" s="90"/>
      <c r="K77" s="90"/>
      <c r="L77" s="90"/>
      <c r="M77" s="90"/>
      <c r="N77" s="90"/>
      <c r="O77" s="90"/>
      <c r="P77" s="90"/>
      <c r="Q77" s="90"/>
      <c r="R77" s="90"/>
      <c r="S77" s="90"/>
      <c r="T77" s="79"/>
      <c r="U77" s="90"/>
      <c r="V77" s="90"/>
      <c r="W77" s="90"/>
      <c r="X77" s="90"/>
      <c r="Y77" s="90"/>
    </row>
    <row r="78" spans="1:25">
      <c r="A78" s="41">
        <v>29</v>
      </c>
      <c r="B78" s="90"/>
      <c r="C78" s="90"/>
      <c r="D78" s="90"/>
      <c r="E78" s="90"/>
      <c r="F78" s="90"/>
      <c r="G78" s="90"/>
      <c r="H78" s="90"/>
      <c r="I78" s="90"/>
      <c r="J78" s="90"/>
      <c r="K78" s="90"/>
      <c r="L78" s="90"/>
      <c r="M78" s="90"/>
      <c r="N78" s="90"/>
      <c r="O78" s="90"/>
      <c r="P78" s="90"/>
      <c r="Q78" s="90"/>
      <c r="R78" s="90"/>
      <c r="S78" s="90"/>
      <c r="T78" s="79"/>
      <c r="U78" s="90"/>
      <c r="V78" s="90"/>
      <c r="W78" s="90"/>
      <c r="X78" s="90"/>
      <c r="Y78" s="90"/>
    </row>
    <row r="79" spans="1:25">
      <c r="A79" s="41">
        <v>30</v>
      </c>
      <c r="B79" s="90"/>
      <c r="C79" s="90"/>
      <c r="D79" s="90"/>
      <c r="E79" s="90"/>
      <c r="F79" s="90"/>
      <c r="G79" s="90"/>
      <c r="H79" s="90"/>
      <c r="I79" s="90"/>
      <c r="J79" s="90"/>
      <c r="K79" s="90"/>
      <c r="L79" s="90"/>
      <c r="M79" s="90"/>
      <c r="N79" s="90"/>
      <c r="O79" s="90"/>
      <c r="P79" s="90"/>
      <c r="Q79" s="90"/>
      <c r="R79" s="90"/>
      <c r="S79" s="90"/>
      <c r="T79" s="79"/>
      <c r="U79" s="90"/>
      <c r="V79" s="90"/>
      <c r="W79" s="90"/>
      <c r="X79" s="90"/>
      <c r="Y79" s="90"/>
    </row>
    <row r="80" spans="1:25">
      <c r="A80" s="41">
        <v>31</v>
      </c>
      <c r="B80" s="90"/>
      <c r="C80" s="90"/>
      <c r="D80" s="90"/>
      <c r="E80" s="90"/>
      <c r="F80" s="90"/>
      <c r="G80" s="90"/>
      <c r="H80" s="90"/>
      <c r="I80" s="90"/>
      <c r="J80" s="90"/>
      <c r="K80" s="90"/>
      <c r="L80" s="90"/>
      <c r="M80" s="90"/>
      <c r="N80" s="90"/>
      <c r="O80" s="90"/>
      <c r="P80" s="90"/>
      <c r="Q80" s="90"/>
      <c r="R80" s="90"/>
      <c r="S80" s="90"/>
      <c r="T80" s="79"/>
      <c r="U80" s="90"/>
      <c r="V80" s="90"/>
      <c r="W80" s="90"/>
      <c r="X80" s="90"/>
      <c r="Y80" s="90"/>
    </row>
    <row r="81" spans="1:25">
      <c r="A81" s="41">
        <v>32</v>
      </c>
      <c r="B81" s="90"/>
      <c r="C81" s="90"/>
      <c r="D81" s="90"/>
      <c r="E81" s="90"/>
      <c r="F81" s="90"/>
      <c r="G81" s="90"/>
      <c r="H81" s="90"/>
      <c r="I81" s="90"/>
      <c r="J81" s="90"/>
      <c r="K81" s="90"/>
      <c r="L81" s="90"/>
      <c r="M81" s="90"/>
      <c r="N81" s="90"/>
      <c r="O81" s="90"/>
      <c r="P81" s="90"/>
      <c r="Q81" s="90"/>
      <c r="R81" s="90"/>
      <c r="S81" s="90"/>
      <c r="T81" s="79"/>
      <c r="U81" s="90"/>
      <c r="V81" s="90"/>
      <c r="W81" s="90"/>
      <c r="X81" s="90"/>
      <c r="Y81" s="90"/>
    </row>
    <row r="82" spans="1:25">
      <c r="A82" s="41">
        <v>33</v>
      </c>
      <c r="B82" s="90"/>
      <c r="C82" s="90"/>
      <c r="D82" s="90"/>
      <c r="E82" s="90"/>
      <c r="F82" s="90"/>
      <c r="G82" s="90"/>
      <c r="H82" s="90"/>
      <c r="I82" s="90"/>
      <c r="J82" s="90"/>
      <c r="K82" s="90"/>
      <c r="L82" s="90"/>
      <c r="M82" s="90"/>
      <c r="N82" s="90"/>
      <c r="O82" s="90"/>
      <c r="P82" s="90"/>
      <c r="Q82" s="90"/>
      <c r="R82" s="90"/>
      <c r="S82" s="90"/>
      <c r="T82" s="79"/>
      <c r="U82" s="90"/>
      <c r="V82" s="90"/>
      <c r="W82" s="90"/>
      <c r="X82" s="90"/>
      <c r="Y82" s="90"/>
    </row>
    <row r="83" spans="1:25">
      <c r="A83" s="41">
        <v>34</v>
      </c>
      <c r="B83" s="90"/>
      <c r="C83" s="90"/>
      <c r="D83" s="90"/>
      <c r="E83" s="90"/>
      <c r="F83" s="90"/>
      <c r="G83" s="90"/>
      <c r="H83" s="90"/>
      <c r="I83" s="90"/>
      <c r="J83" s="90"/>
      <c r="K83" s="90"/>
      <c r="L83" s="90"/>
      <c r="M83" s="90"/>
      <c r="N83" s="90"/>
      <c r="O83" s="90"/>
      <c r="P83" s="90"/>
      <c r="Q83" s="90"/>
      <c r="R83" s="90"/>
      <c r="S83" s="90"/>
      <c r="T83" s="79"/>
      <c r="U83" s="90"/>
      <c r="V83" s="90"/>
      <c r="W83" s="90"/>
      <c r="X83" s="90"/>
      <c r="Y83" s="90"/>
    </row>
    <row r="84" spans="1:25">
      <c r="A84" s="41">
        <v>35</v>
      </c>
      <c r="B84" s="90"/>
      <c r="C84" s="90"/>
      <c r="D84" s="90"/>
      <c r="E84" s="90"/>
      <c r="F84" s="90"/>
      <c r="G84" s="90"/>
      <c r="H84" s="90"/>
      <c r="I84" s="90"/>
      <c r="J84" s="90"/>
      <c r="K84" s="90"/>
      <c r="L84" s="90"/>
      <c r="M84" s="90"/>
      <c r="N84" s="90"/>
      <c r="O84" s="90"/>
      <c r="P84" s="90"/>
      <c r="Q84" s="90"/>
      <c r="R84" s="90"/>
      <c r="S84" s="90"/>
      <c r="T84" s="79"/>
      <c r="U84" s="90"/>
      <c r="V84" s="90"/>
      <c r="W84" s="90"/>
      <c r="X84" s="90"/>
      <c r="Y84" s="90"/>
    </row>
    <row r="85" spans="1:25">
      <c r="A85" s="41">
        <v>36</v>
      </c>
    </row>
    <row r="86" spans="1:25">
      <c r="A86" s="41">
        <v>37</v>
      </c>
    </row>
    <row r="87" spans="1:25">
      <c r="A87" s="41">
        <v>38</v>
      </c>
    </row>
    <row r="88" spans="1:25">
      <c r="A88" s="41">
        <v>39</v>
      </c>
    </row>
    <row r="89" spans="1:25">
      <c r="A89" s="41">
        <v>40</v>
      </c>
    </row>
  </sheetData>
  <sheetProtection password="C5CB" sheet="1" selectLockedCells="1"/>
  <protectedRanges>
    <protectedRange sqref="E41:F43" name="Range15"/>
    <protectedRange sqref="N41:O43" name="Range14"/>
    <protectedRange sqref="G8:M8 Q8 T33 T30 R7:T8 E7:M7 N7:N8 O7:Q7 C7:D8 T11 T14:T15" name="Range1_1"/>
    <protectedRange sqref="T22:T25" name="Range3_1"/>
    <protectedRange sqref="F30:O30 T27:T29" name="Range5_1"/>
    <protectedRange sqref="K37" name="Range8"/>
    <protectedRange sqref="K38" name="Range9_1"/>
    <protectedRange sqref="E40:I40" name="Range10_1"/>
    <protectedRange sqref="R40:S40" name="Range11_1"/>
    <protectedRange sqref="P30" name="Range5_4"/>
    <protectedRange sqref="Q21:S29" name="Range5_1_1"/>
    <protectedRange sqref="N21:P29" name="Range5_2"/>
    <protectedRange sqref="P33 P15" name="Range1_1_1"/>
    <protectedRange sqref="P8" name="Range1_2"/>
  </protectedRanges>
  <mergeCells count="57">
    <mergeCell ref="Q23:S23"/>
    <mergeCell ref="Q8:S8"/>
    <mergeCell ref="Q11:S11"/>
    <mergeCell ref="Q15:S15"/>
    <mergeCell ref="N22:P22"/>
    <mergeCell ref="Q22:S22"/>
    <mergeCell ref="Q18:S18"/>
    <mergeCell ref="C20:J20"/>
    <mergeCell ref="K20:M20"/>
    <mergeCell ref="N20:P20"/>
    <mergeCell ref="Q20:S20"/>
    <mergeCell ref="K22:M22"/>
    <mergeCell ref="K26:M26"/>
    <mergeCell ref="B7:N7"/>
    <mergeCell ref="B11:G11"/>
    <mergeCell ref="B17:H17"/>
    <mergeCell ref="B14:K14"/>
    <mergeCell ref="K15:M15"/>
    <mergeCell ref="N26:P26"/>
    <mergeCell ref="K8:M8"/>
    <mergeCell ref="K28:M28"/>
    <mergeCell ref="N28:P28"/>
    <mergeCell ref="Q28:S28"/>
    <mergeCell ref="C26:J26"/>
    <mergeCell ref="B4:T4"/>
    <mergeCell ref="C23:J23"/>
    <mergeCell ref="K23:M23"/>
    <mergeCell ref="N23:P23"/>
    <mergeCell ref="N27:P27"/>
    <mergeCell ref="Q27:S27"/>
    <mergeCell ref="C28:J28"/>
    <mergeCell ref="C21:J21"/>
    <mergeCell ref="K21:M21"/>
    <mergeCell ref="N21:P21"/>
    <mergeCell ref="Q21:S21"/>
    <mergeCell ref="C22:J22"/>
    <mergeCell ref="Q36:S36"/>
    <mergeCell ref="B35:F35"/>
    <mergeCell ref="N29:P29"/>
    <mergeCell ref="Q29:S29"/>
    <mergeCell ref="Q30:S30"/>
    <mergeCell ref="C29:J29"/>
    <mergeCell ref="K29:M29"/>
    <mergeCell ref="B32:J32"/>
    <mergeCell ref="K33:M33"/>
    <mergeCell ref="Q33:S33"/>
    <mergeCell ref="C27:J27"/>
    <mergeCell ref="C24:J24"/>
    <mergeCell ref="K24:M24"/>
    <mergeCell ref="N24:P24"/>
    <mergeCell ref="Q24:S24"/>
    <mergeCell ref="C25:J25"/>
    <mergeCell ref="K25:M25"/>
    <mergeCell ref="N25:P25"/>
    <mergeCell ref="Q25:S25"/>
    <mergeCell ref="K27:M27"/>
    <mergeCell ref="Q26:S26"/>
  </mergeCells>
  <phoneticPr fontId="8" type="noConversion"/>
  <dataValidations xWindow="132" yWindow="354" count="1">
    <dataValidation type="list" allowBlank="1" showErrorMessage="1" sqref="B21:B29">
      <formula1>$A$49:$A$89</formula1>
    </dataValidation>
  </dataValidations>
  <printOptions horizontalCentered="1"/>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9"/>
  <sheetViews>
    <sheetView topLeftCell="A4" zoomScaleNormal="100" workbookViewId="0">
      <selection activeCell="C24" sqref="C24:J24"/>
    </sheetView>
  </sheetViews>
  <sheetFormatPr defaultColWidth="8.85546875" defaultRowHeight="12.75"/>
  <cols>
    <col min="1" max="1" width="2.140625" style="5" customWidth="1"/>
    <col min="2" max="2" width="9.7109375" style="5" customWidth="1"/>
    <col min="3" max="9" width="3.5703125" style="5" customWidth="1"/>
    <col min="10" max="10" width="5" style="5" customWidth="1"/>
    <col min="11" max="19" width="5.42578125" style="5" customWidth="1"/>
    <col min="20" max="20" width="3.42578125" style="2" customWidth="1"/>
    <col min="21" max="16384" width="8.85546875" style="5"/>
  </cols>
  <sheetData>
    <row r="1" spans="1:25" s="47" customFormat="1" ht="16.5" customHeight="1">
      <c r="B1" s="40"/>
      <c r="C1" s="40"/>
      <c r="D1" s="40"/>
      <c r="E1" s="40"/>
      <c r="F1" s="40"/>
      <c r="G1" s="40"/>
      <c r="H1" s="40"/>
      <c r="I1" s="40"/>
      <c r="J1" s="40"/>
      <c r="K1" s="40"/>
      <c r="L1" s="40"/>
      <c r="M1" s="40"/>
      <c r="N1" s="40"/>
      <c r="O1" s="40"/>
      <c r="T1" s="48"/>
      <c r="U1" s="41" t="s">
        <v>359</v>
      </c>
    </row>
    <row r="2" spans="1:25" s="38" customFormat="1" ht="19.5" customHeight="1">
      <c r="A2" s="82" t="s">
        <v>402</v>
      </c>
      <c r="B2" s="41"/>
      <c r="C2" s="41"/>
      <c r="D2" s="41"/>
      <c r="E2" s="41"/>
      <c r="F2" s="41"/>
      <c r="G2" s="41"/>
      <c r="H2" s="41"/>
      <c r="I2" s="41"/>
      <c r="J2" s="41"/>
      <c r="K2" s="41"/>
      <c r="L2" s="41"/>
      <c r="M2" s="41"/>
      <c r="N2" s="41"/>
      <c r="O2" s="41"/>
      <c r="P2" s="41"/>
      <c r="Q2" s="127" t="str">
        <f>'SP11-1'!$L$2</f>
        <v>Spreadsheet v 3 (27-March-14)</v>
      </c>
      <c r="R2" s="41"/>
      <c r="S2" s="41"/>
      <c r="T2" s="41"/>
      <c r="U2" s="139" t="s">
        <v>360</v>
      </c>
      <c r="V2" s="41"/>
      <c r="W2" s="41"/>
      <c r="X2" s="41"/>
      <c r="Y2" s="41"/>
    </row>
    <row r="3" spans="1:25" s="47" customFormat="1" ht="11.25" customHeight="1">
      <c r="A3" s="55" t="s">
        <v>293</v>
      </c>
      <c r="B3" s="4"/>
      <c r="C3" s="4"/>
      <c r="D3" s="4"/>
      <c r="E3" s="4"/>
      <c r="F3" s="4"/>
      <c r="G3" s="4"/>
      <c r="H3" s="4"/>
      <c r="I3" s="4"/>
      <c r="J3" s="4"/>
      <c r="K3" s="4"/>
      <c r="L3" s="4"/>
      <c r="M3" s="4"/>
      <c r="N3" s="4"/>
      <c r="O3" s="4"/>
      <c r="P3" s="41"/>
      <c r="Q3" s="41"/>
      <c r="R3" s="41"/>
      <c r="S3" s="41"/>
      <c r="T3" s="54"/>
      <c r="U3" s="41"/>
      <c r="V3" s="41"/>
      <c r="W3" s="41"/>
      <c r="X3" s="41"/>
      <c r="Y3" s="41"/>
    </row>
    <row r="4" spans="1:25" s="38" customFormat="1" ht="15.75">
      <c r="A4" s="82"/>
      <c r="B4" s="295" t="s">
        <v>375</v>
      </c>
      <c r="C4" s="362"/>
      <c r="D4" s="362"/>
      <c r="E4" s="362"/>
      <c r="F4" s="362"/>
      <c r="G4" s="362"/>
      <c r="H4" s="362"/>
      <c r="I4" s="362"/>
      <c r="J4" s="362"/>
      <c r="K4" s="362"/>
      <c r="L4" s="362"/>
      <c r="M4" s="362"/>
      <c r="N4" s="362"/>
      <c r="O4" s="362"/>
      <c r="P4" s="362"/>
      <c r="Q4" s="362"/>
      <c r="R4" s="362"/>
      <c r="S4" s="362"/>
      <c r="T4" s="362"/>
      <c r="U4" s="41"/>
      <c r="V4" s="41"/>
      <c r="W4" s="41"/>
      <c r="X4" s="41"/>
      <c r="Y4" s="41"/>
    </row>
    <row r="5" spans="1:25" s="47" customFormat="1" ht="11.25" customHeight="1">
      <c r="A5" s="36"/>
      <c r="B5" s="4"/>
      <c r="C5" s="4"/>
      <c r="D5" s="4"/>
      <c r="E5" s="4"/>
      <c r="F5" s="4"/>
      <c r="G5" s="4"/>
      <c r="H5" s="4"/>
      <c r="I5" s="4"/>
      <c r="J5" s="4"/>
      <c r="K5" s="4"/>
      <c r="L5" s="4"/>
      <c r="M5" s="4"/>
      <c r="N5" s="4"/>
      <c r="O5" s="4"/>
      <c r="P5" s="41"/>
      <c r="Q5" s="41"/>
      <c r="R5" s="41"/>
      <c r="S5" s="41"/>
      <c r="T5" s="54"/>
      <c r="U5" s="41"/>
      <c r="V5" s="41"/>
      <c r="W5" s="41"/>
      <c r="X5" s="41"/>
      <c r="Y5" s="41"/>
    </row>
    <row r="6" spans="1:25" s="40" customFormat="1" ht="3.75" customHeight="1">
      <c r="A6" s="56"/>
      <c r="B6" s="57"/>
      <c r="C6" s="57"/>
      <c r="D6" s="57"/>
      <c r="E6" s="57"/>
      <c r="F6" s="57"/>
      <c r="G6" s="57"/>
      <c r="H6" s="57"/>
      <c r="I6" s="57"/>
      <c r="J6" s="57"/>
      <c r="K6" s="57"/>
      <c r="L6" s="57"/>
      <c r="M6" s="57"/>
      <c r="N6" s="57"/>
      <c r="O6" s="57"/>
      <c r="P6" s="57"/>
      <c r="Q6" s="57"/>
      <c r="R6" s="57"/>
      <c r="S6" s="57"/>
      <c r="T6" s="56"/>
      <c r="U6" s="4"/>
      <c r="V6" s="4"/>
      <c r="W6" s="4"/>
      <c r="X6" s="4"/>
      <c r="Y6" s="4"/>
    </row>
    <row r="7" spans="1:25" s="47" customFormat="1" ht="19.5" customHeight="1">
      <c r="A7" s="58">
        <v>1</v>
      </c>
      <c r="B7" s="322" t="s">
        <v>294</v>
      </c>
      <c r="C7" s="322"/>
      <c r="D7" s="322"/>
      <c r="E7" s="322"/>
      <c r="F7" s="322"/>
      <c r="G7" s="322"/>
      <c r="H7" s="322"/>
      <c r="I7" s="322"/>
      <c r="J7" s="322"/>
      <c r="K7" s="322"/>
      <c r="L7" s="322"/>
      <c r="M7" s="322"/>
      <c r="N7" s="322"/>
      <c r="O7" s="57"/>
      <c r="P7" s="57"/>
      <c r="Q7" s="57"/>
      <c r="R7" s="57"/>
      <c r="S7" s="57"/>
      <c r="T7" s="56"/>
      <c r="U7" s="41"/>
      <c r="V7" s="41"/>
      <c r="W7" s="41"/>
      <c r="X7" s="41"/>
      <c r="Y7" s="41"/>
    </row>
    <row r="8" spans="1:25" s="47" customFormat="1" ht="19.5" customHeight="1" thickBot="1">
      <c r="A8" s="56"/>
      <c r="B8" s="57"/>
      <c r="C8" s="57"/>
      <c r="D8" s="57"/>
      <c r="E8" s="57"/>
      <c r="F8" s="57"/>
      <c r="G8" s="72"/>
      <c r="H8" s="72"/>
      <c r="I8" s="72"/>
      <c r="J8" s="72" t="s">
        <v>16</v>
      </c>
      <c r="K8" s="352">
        <v>479240</v>
      </c>
      <c r="L8" s="352"/>
      <c r="M8" s="352"/>
      <c r="N8" s="57" t="s">
        <v>413</v>
      </c>
      <c r="O8" s="57">
        <v>0.94</v>
      </c>
      <c r="P8" s="72" t="s">
        <v>439</v>
      </c>
      <c r="Q8" s="364">
        <f>K8*O8</f>
        <v>450485.6</v>
      </c>
      <c r="R8" s="364"/>
      <c r="S8" s="364"/>
      <c r="T8" s="58" t="s">
        <v>28</v>
      </c>
      <c r="U8" s="41"/>
      <c r="V8" s="41"/>
      <c r="W8" s="41"/>
      <c r="X8" s="41"/>
      <c r="Y8" s="41"/>
    </row>
    <row r="9" spans="1:25" s="49" customFormat="1" ht="4.5" customHeight="1" thickTop="1">
      <c r="A9" s="68"/>
      <c r="B9" s="69"/>
      <c r="C9" s="69"/>
      <c r="D9" s="69"/>
      <c r="E9" s="69"/>
      <c r="F9" s="69"/>
      <c r="G9" s="83"/>
      <c r="H9" s="83"/>
      <c r="I9" s="83"/>
      <c r="J9" s="83"/>
      <c r="K9" s="83"/>
      <c r="L9" s="83"/>
      <c r="M9" s="83"/>
      <c r="N9" s="83"/>
      <c r="O9" s="83"/>
      <c r="P9" s="83"/>
      <c r="Q9" s="83"/>
      <c r="R9" s="83"/>
      <c r="S9" s="83"/>
      <c r="T9" s="68"/>
      <c r="U9" s="84"/>
      <c r="V9" s="84"/>
      <c r="W9" s="84"/>
      <c r="X9" s="84"/>
      <c r="Y9" s="84"/>
    </row>
    <row r="10" spans="1:25" s="50" customFormat="1" ht="4.5" customHeight="1" thickBot="1">
      <c r="A10" s="92"/>
      <c r="B10" s="91"/>
      <c r="C10" s="91"/>
      <c r="D10" s="91"/>
      <c r="E10" s="91"/>
      <c r="F10" s="91"/>
      <c r="G10" s="93"/>
      <c r="H10" s="93"/>
      <c r="I10" s="93"/>
      <c r="J10" s="93"/>
      <c r="K10" s="93"/>
      <c r="L10" s="93"/>
      <c r="M10" s="93"/>
      <c r="N10" s="93"/>
      <c r="O10" s="93"/>
      <c r="P10" s="93"/>
      <c r="Q10" s="93"/>
      <c r="R10" s="93"/>
      <c r="S10" s="93"/>
      <c r="T10" s="92"/>
      <c r="U10" s="94"/>
      <c r="V10" s="94"/>
      <c r="W10" s="94"/>
      <c r="X10" s="94"/>
      <c r="Y10" s="94"/>
    </row>
    <row r="11" spans="1:25" s="47" customFormat="1" ht="19.5" customHeight="1" thickTop="1" thickBot="1">
      <c r="A11" s="58">
        <v>2</v>
      </c>
      <c r="B11" s="322" t="s">
        <v>295</v>
      </c>
      <c r="C11" s="322"/>
      <c r="D11" s="322"/>
      <c r="E11" s="322"/>
      <c r="F11" s="322"/>
      <c r="G11" s="322"/>
      <c r="H11" s="57"/>
      <c r="I11" s="57"/>
      <c r="J11" s="57"/>
      <c r="K11" s="57"/>
      <c r="L11" s="57"/>
      <c r="M11" s="57"/>
      <c r="N11" s="57"/>
      <c r="O11" s="57"/>
      <c r="P11" s="72" t="s">
        <v>16</v>
      </c>
      <c r="Q11" s="315"/>
      <c r="R11" s="315"/>
      <c r="S11" s="315"/>
      <c r="T11" s="58" t="s">
        <v>29</v>
      </c>
      <c r="U11" s="41"/>
      <c r="V11" s="41"/>
      <c r="W11" s="41"/>
      <c r="X11" s="41"/>
      <c r="Y11" s="41"/>
    </row>
    <row r="12" spans="1:25" s="49" customFormat="1" ht="4.5" customHeight="1" thickTop="1">
      <c r="A12" s="68"/>
      <c r="B12" s="69"/>
      <c r="C12" s="69"/>
      <c r="D12" s="69"/>
      <c r="E12" s="69"/>
      <c r="F12" s="69"/>
      <c r="G12" s="83"/>
      <c r="H12" s="83"/>
      <c r="I12" s="83"/>
      <c r="J12" s="83"/>
      <c r="K12" s="83"/>
      <c r="L12" s="83"/>
      <c r="M12" s="83"/>
      <c r="N12" s="83"/>
      <c r="O12" s="83"/>
      <c r="P12" s="83"/>
      <c r="Q12" s="83"/>
      <c r="R12" s="83"/>
      <c r="S12" s="83"/>
      <c r="T12" s="68"/>
      <c r="U12" s="84"/>
      <c r="V12" s="84"/>
      <c r="W12" s="84"/>
      <c r="X12" s="84"/>
      <c r="Y12" s="84"/>
    </row>
    <row r="13" spans="1:25" s="50" customFormat="1" ht="4.5" customHeight="1">
      <c r="A13" s="92"/>
      <c r="B13" s="91"/>
      <c r="C13" s="91"/>
      <c r="D13" s="91"/>
      <c r="E13" s="91"/>
      <c r="F13" s="91"/>
      <c r="G13" s="93"/>
      <c r="H13" s="93"/>
      <c r="I13" s="93"/>
      <c r="J13" s="93"/>
      <c r="K13" s="93"/>
      <c r="L13" s="93"/>
      <c r="M13" s="93"/>
      <c r="N13" s="93"/>
      <c r="O13" s="93"/>
      <c r="P13" s="93"/>
      <c r="Q13" s="93"/>
      <c r="R13" s="93"/>
      <c r="S13" s="93"/>
      <c r="T13" s="92"/>
      <c r="U13" s="94"/>
      <c r="V13" s="94"/>
      <c r="W13" s="94"/>
      <c r="X13" s="94"/>
      <c r="Y13" s="94"/>
    </row>
    <row r="14" spans="1:25" s="47" customFormat="1" ht="19.5" customHeight="1" thickBot="1">
      <c r="A14" s="58">
        <v>3</v>
      </c>
      <c r="B14" s="322" t="s">
        <v>363</v>
      </c>
      <c r="C14" s="322"/>
      <c r="D14" s="322"/>
      <c r="E14" s="322"/>
      <c r="F14" s="322"/>
      <c r="G14" s="322"/>
      <c r="H14" s="322"/>
      <c r="I14" s="322"/>
      <c r="J14" s="322"/>
      <c r="K14" s="322"/>
      <c r="L14" s="57"/>
      <c r="M14" s="57"/>
      <c r="N14" s="57"/>
      <c r="O14" s="57"/>
      <c r="P14" s="57"/>
      <c r="Q14" s="57"/>
      <c r="R14" s="57"/>
      <c r="S14" s="57"/>
      <c r="T14" s="58"/>
      <c r="U14" s="41"/>
      <c r="V14" s="41"/>
      <c r="W14" s="41"/>
      <c r="X14" s="41"/>
      <c r="Y14" s="41"/>
    </row>
    <row r="15" spans="1:25" s="47" customFormat="1" ht="19.5" customHeight="1" thickTop="1">
      <c r="A15" s="56"/>
      <c r="B15" s="57"/>
      <c r="C15" s="57"/>
      <c r="D15" s="57"/>
      <c r="E15" s="57"/>
      <c r="F15" s="57"/>
      <c r="G15" s="72"/>
      <c r="H15" s="72"/>
      <c r="I15" s="72"/>
      <c r="J15" s="72" t="s">
        <v>438</v>
      </c>
      <c r="K15" s="352">
        <v>2450</v>
      </c>
      <c r="L15" s="352"/>
      <c r="M15" s="352"/>
      <c r="N15" s="57" t="s">
        <v>413</v>
      </c>
      <c r="O15" s="78">
        <v>14.52</v>
      </c>
      <c r="P15" s="72" t="s">
        <v>439</v>
      </c>
      <c r="Q15" s="365">
        <f>K15*O15</f>
        <v>35574</v>
      </c>
      <c r="R15" s="365"/>
      <c r="S15" s="365"/>
      <c r="T15" s="58" t="s">
        <v>31</v>
      </c>
      <c r="U15" s="41"/>
      <c r="V15" s="41"/>
      <c r="W15" s="41"/>
      <c r="X15" s="41"/>
      <c r="Y15" s="41"/>
    </row>
    <row r="16" spans="1:25" s="49" customFormat="1" ht="3.75" customHeight="1">
      <c r="A16" s="68"/>
      <c r="B16" s="69"/>
      <c r="C16" s="69"/>
      <c r="D16" s="69"/>
      <c r="E16" s="69"/>
      <c r="F16" s="69"/>
      <c r="G16" s="83"/>
      <c r="H16" s="83"/>
      <c r="I16" s="83"/>
      <c r="J16" s="83"/>
      <c r="K16" s="83"/>
      <c r="L16" s="83"/>
      <c r="M16" s="83"/>
      <c r="N16" s="83"/>
      <c r="O16" s="83"/>
      <c r="P16" s="83"/>
      <c r="Q16" s="83"/>
      <c r="R16" s="83"/>
      <c r="S16" s="83"/>
      <c r="T16" s="68"/>
      <c r="U16" s="84"/>
      <c r="V16" s="84"/>
      <c r="W16" s="84"/>
      <c r="X16" s="84"/>
      <c r="Y16" s="84"/>
    </row>
    <row r="17" spans="1:25" s="47" customFormat="1" ht="19.5" customHeight="1">
      <c r="A17" s="58">
        <v>4</v>
      </c>
      <c r="B17" s="317" t="s">
        <v>22</v>
      </c>
      <c r="C17" s="317"/>
      <c r="D17" s="317"/>
      <c r="E17" s="317"/>
      <c r="F17" s="317"/>
      <c r="G17" s="317"/>
      <c r="H17" s="317"/>
      <c r="I17" s="57"/>
      <c r="J17" s="57"/>
      <c r="K17" s="57"/>
      <c r="L17" s="57"/>
      <c r="M17" s="57"/>
      <c r="N17" s="57"/>
      <c r="O17" s="57"/>
      <c r="P17" s="57"/>
      <c r="Q17" s="57"/>
      <c r="R17" s="57"/>
      <c r="S17" s="57"/>
      <c r="T17" s="56"/>
      <c r="U17" s="41"/>
      <c r="V17" s="41"/>
      <c r="W17" s="41"/>
      <c r="X17" s="41"/>
      <c r="Y17" s="41"/>
    </row>
    <row r="18" spans="1:25" s="47" customFormat="1" ht="19.5" customHeight="1">
      <c r="A18" s="56"/>
      <c r="B18" s="60" t="s">
        <v>38</v>
      </c>
      <c r="C18" s="57"/>
      <c r="D18" s="57"/>
      <c r="E18" s="57"/>
      <c r="F18" s="57"/>
      <c r="G18" s="57"/>
      <c r="H18" s="57"/>
      <c r="I18" s="57"/>
      <c r="J18" s="57"/>
      <c r="K18" s="57"/>
      <c r="L18" s="57"/>
      <c r="M18" s="57"/>
      <c r="N18" s="57"/>
      <c r="O18" s="57"/>
      <c r="P18" s="77" t="s">
        <v>361</v>
      </c>
      <c r="Q18" s="363">
        <f>'SP11-1'!I25</f>
        <v>2015</v>
      </c>
      <c r="R18" s="363"/>
      <c r="S18" s="363"/>
      <c r="T18" s="56"/>
      <c r="U18" s="41"/>
      <c r="V18" s="41"/>
      <c r="W18" s="41"/>
      <c r="X18" s="41"/>
      <c r="Y18" s="41"/>
    </row>
    <row r="19" spans="1:25" s="47" customFormat="1" ht="19.5" customHeight="1">
      <c r="A19" s="56"/>
      <c r="B19" s="57" t="s">
        <v>210</v>
      </c>
      <c r="C19" s="57"/>
      <c r="D19" s="57"/>
      <c r="E19" s="57"/>
      <c r="F19" s="57"/>
      <c r="G19" s="57"/>
      <c r="H19" s="57"/>
      <c r="I19" s="57"/>
      <c r="J19" s="57"/>
      <c r="K19" s="57"/>
      <c r="L19" s="57"/>
      <c r="M19" s="57"/>
      <c r="N19" s="57"/>
      <c r="O19" s="57"/>
      <c r="P19" s="57"/>
      <c r="Q19" s="57"/>
      <c r="R19" s="57"/>
      <c r="S19" s="57"/>
      <c r="T19" s="56"/>
      <c r="U19" s="41"/>
      <c r="V19" s="41"/>
      <c r="W19" s="41"/>
      <c r="X19" s="41"/>
      <c r="Y19" s="41"/>
    </row>
    <row r="20" spans="1:25" s="47" customFormat="1" ht="19.5" customHeight="1">
      <c r="A20" s="56"/>
      <c r="B20" s="85" t="s">
        <v>23</v>
      </c>
      <c r="C20" s="348" t="s">
        <v>24</v>
      </c>
      <c r="D20" s="348"/>
      <c r="E20" s="348"/>
      <c r="F20" s="348"/>
      <c r="G20" s="348"/>
      <c r="H20" s="348"/>
      <c r="I20" s="348"/>
      <c r="J20" s="348"/>
      <c r="K20" s="348" t="s">
        <v>25</v>
      </c>
      <c r="L20" s="348"/>
      <c r="M20" s="348"/>
      <c r="N20" s="348" t="s">
        <v>26</v>
      </c>
      <c r="O20" s="348"/>
      <c r="P20" s="348"/>
      <c r="Q20" s="348" t="s">
        <v>296</v>
      </c>
      <c r="R20" s="348"/>
      <c r="S20" s="349"/>
      <c r="T20" s="56"/>
      <c r="U20" s="41"/>
      <c r="V20" s="41"/>
      <c r="W20" s="41"/>
      <c r="X20" s="41"/>
      <c r="Y20" s="41"/>
    </row>
    <row r="21" spans="1:25" s="47" customFormat="1" ht="19.5" customHeight="1">
      <c r="A21" s="56"/>
      <c r="B21" s="95">
        <v>10</v>
      </c>
      <c r="C21" s="354" t="s">
        <v>684</v>
      </c>
      <c r="D21" s="354"/>
      <c r="E21" s="354"/>
      <c r="F21" s="354"/>
      <c r="G21" s="354"/>
      <c r="H21" s="354"/>
      <c r="I21" s="354"/>
      <c r="J21" s="354"/>
      <c r="K21" s="355">
        <v>83100</v>
      </c>
      <c r="L21" s="355"/>
      <c r="M21" s="355"/>
      <c r="N21" s="329">
        <f>Tables!H292</f>
        <v>0.55839477691511785</v>
      </c>
      <c r="O21" s="329"/>
      <c r="P21" s="329"/>
      <c r="Q21" s="333">
        <f>IF(N21="","",K21*N21)</f>
        <v>46402.605961646295</v>
      </c>
      <c r="R21" s="334"/>
      <c r="S21" s="335"/>
      <c r="T21" s="56"/>
      <c r="U21" s="41"/>
      <c r="V21" s="41"/>
      <c r="W21" s="41"/>
      <c r="X21" s="41"/>
      <c r="Y21" s="41"/>
    </row>
    <row r="22" spans="1:25" s="47" customFormat="1" ht="19.5" customHeight="1">
      <c r="A22" s="56"/>
      <c r="B22" s="96">
        <v>20</v>
      </c>
      <c r="C22" s="353" t="s">
        <v>684</v>
      </c>
      <c r="D22" s="353"/>
      <c r="E22" s="353"/>
      <c r="F22" s="353"/>
      <c r="G22" s="353"/>
      <c r="H22" s="353"/>
      <c r="I22" s="353"/>
      <c r="J22" s="353"/>
      <c r="K22" s="356">
        <v>83100</v>
      </c>
      <c r="L22" s="366"/>
      <c r="M22" s="367"/>
      <c r="N22" s="329">
        <f>Tables!H293</f>
        <v>0.31180472688608429</v>
      </c>
      <c r="O22" s="329"/>
      <c r="P22" s="329"/>
      <c r="Q22" s="330">
        <f t="shared" ref="Q22:Q29" si="0">IF(N22="","",K22*N22)</f>
        <v>25910.972804233606</v>
      </c>
      <c r="R22" s="331"/>
      <c r="S22" s="332"/>
      <c r="T22" s="56"/>
      <c r="U22" s="41"/>
      <c r="V22" s="41"/>
      <c r="W22" s="41"/>
      <c r="X22" s="41"/>
      <c r="Y22" s="41"/>
    </row>
    <row r="23" spans="1:25" s="47" customFormat="1" ht="19.5" customHeight="1">
      <c r="A23" s="56"/>
      <c r="B23" s="96">
        <v>30</v>
      </c>
      <c r="C23" s="353" t="s">
        <v>684</v>
      </c>
      <c r="D23" s="353"/>
      <c r="E23" s="353"/>
      <c r="F23" s="353"/>
      <c r="G23" s="353"/>
      <c r="H23" s="353"/>
      <c r="I23" s="353"/>
      <c r="J23" s="353"/>
      <c r="K23" s="356">
        <v>83100</v>
      </c>
      <c r="L23" s="356"/>
      <c r="M23" s="356"/>
      <c r="N23" s="329">
        <f>Tables!H294</f>
        <v>0.17411013091063426</v>
      </c>
      <c r="O23" s="329"/>
      <c r="P23" s="329"/>
      <c r="Q23" s="330">
        <f t="shared" si="0"/>
        <v>14468.551878673707</v>
      </c>
      <c r="R23" s="331"/>
      <c r="S23" s="332"/>
      <c r="T23" s="56"/>
      <c r="U23" s="41"/>
      <c r="V23" s="41"/>
      <c r="W23" s="41"/>
      <c r="X23" s="41"/>
      <c r="Y23" s="41"/>
    </row>
    <row r="24" spans="1:25" s="47" customFormat="1" ht="19.5" customHeight="1">
      <c r="A24" s="56"/>
      <c r="B24" s="96">
        <v>40</v>
      </c>
      <c r="C24" s="353" t="s">
        <v>684</v>
      </c>
      <c r="D24" s="353"/>
      <c r="E24" s="353"/>
      <c r="F24" s="353"/>
      <c r="G24" s="353"/>
      <c r="H24" s="353"/>
      <c r="I24" s="353"/>
      <c r="J24" s="353"/>
      <c r="K24" s="356">
        <v>83100</v>
      </c>
      <c r="L24" s="356"/>
      <c r="M24" s="356"/>
      <c r="N24" s="329">
        <f>Tables!H295</f>
        <v>9.7222187708505589E-2</v>
      </c>
      <c r="O24" s="329"/>
      <c r="P24" s="329"/>
      <c r="Q24" s="330">
        <f>IF(N24="","",K24*N24)</f>
        <v>8079.1637985768148</v>
      </c>
      <c r="R24" s="331"/>
      <c r="S24" s="332"/>
      <c r="T24" s="56"/>
      <c r="U24" s="41"/>
      <c r="V24" s="41"/>
      <c r="W24" s="41"/>
      <c r="X24" s="41"/>
      <c r="Y24" s="41"/>
    </row>
    <row r="25" spans="1:25" s="47" customFormat="1" ht="19.5" customHeight="1">
      <c r="A25" s="56"/>
      <c r="B25" s="96"/>
      <c r="C25" s="353"/>
      <c r="D25" s="353"/>
      <c r="E25" s="353"/>
      <c r="F25" s="353"/>
      <c r="G25" s="353"/>
      <c r="H25" s="353"/>
      <c r="I25" s="353"/>
      <c r="J25" s="353"/>
      <c r="K25" s="356"/>
      <c r="L25" s="356"/>
      <c r="M25" s="356"/>
      <c r="N25" s="329" t="str">
        <f>Tables!H296</f>
        <v/>
      </c>
      <c r="O25" s="329"/>
      <c r="P25" s="329"/>
      <c r="Q25" s="330" t="str">
        <f>IF(N25="","",K25*N25)</f>
        <v/>
      </c>
      <c r="R25" s="331"/>
      <c r="S25" s="332"/>
      <c r="T25" s="56"/>
      <c r="U25" s="41"/>
      <c r="V25" s="41"/>
      <c r="W25" s="41"/>
      <c r="X25" s="41"/>
      <c r="Y25" s="41"/>
    </row>
    <row r="26" spans="1:25" s="47" customFormat="1" ht="19.5" customHeight="1">
      <c r="A26" s="56"/>
      <c r="B26" s="96"/>
      <c r="C26" s="353"/>
      <c r="D26" s="353"/>
      <c r="E26" s="353"/>
      <c r="F26" s="353"/>
      <c r="G26" s="353"/>
      <c r="H26" s="353"/>
      <c r="I26" s="353"/>
      <c r="J26" s="353"/>
      <c r="K26" s="356"/>
      <c r="L26" s="356"/>
      <c r="M26" s="356"/>
      <c r="N26" s="329" t="str">
        <f>Tables!H297</f>
        <v/>
      </c>
      <c r="O26" s="329"/>
      <c r="P26" s="329"/>
      <c r="Q26" s="330" t="str">
        <f t="shared" si="0"/>
        <v/>
      </c>
      <c r="R26" s="331"/>
      <c r="S26" s="332"/>
      <c r="T26" s="56"/>
      <c r="U26" s="41"/>
      <c r="V26" s="41"/>
      <c r="W26" s="41"/>
      <c r="X26" s="41"/>
      <c r="Y26" s="41"/>
    </row>
    <row r="27" spans="1:25" s="47" customFormat="1" ht="19.5" customHeight="1">
      <c r="A27" s="56"/>
      <c r="B27" s="96"/>
      <c r="C27" s="353"/>
      <c r="D27" s="353"/>
      <c r="E27" s="353"/>
      <c r="F27" s="353"/>
      <c r="G27" s="353"/>
      <c r="H27" s="353"/>
      <c r="I27" s="353"/>
      <c r="J27" s="353"/>
      <c r="K27" s="356"/>
      <c r="L27" s="356"/>
      <c r="M27" s="356"/>
      <c r="N27" s="329" t="str">
        <f>Tables!H298</f>
        <v/>
      </c>
      <c r="O27" s="329"/>
      <c r="P27" s="329"/>
      <c r="Q27" s="330" t="str">
        <f t="shared" si="0"/>
        <v/>
      </c>
      <c r="R27" s="331"/>
      <c r="S27" s="332"/>
      <c r="T27" s="56"/>
      <c r="U27" s="41"/>
      <c r="V27" s="41"/>
      <c r="W27" s="41"/>
      <c r="X27" s="41"/>
      <c r="Y27" s="41"/>
    </row>
    <row r="28" spans="1:25" s="47" customFormat="1" ht="19.5" customHeight="1">
      <c r="A28" s="56"/>
      <c r="B28" s="96"/>
      <c r="C28" s="353"/>
      <c r="D28" s="353"/>
      <c r="E28" s="353"/>
      <c r="F28" s="353"/>
      <c r="G28" s="353"/>
      <c r="H28" s="353"/>
      <c r="I28" s="353"/>
      <c r="J28" s="353"/>
      <c r="K28" s="356"/>
      <c r="L28" s="356"/>
      <c r="M28" s="356"/>
      <c r="N28" s="329" t="str">
        <f>Tables!H299</f>
        <v/>
      </c>
      <c r="O28" s="329"/>
      <c r="P28" s="329"/>
      <c r="Q28" s="330" t="str">
        <f t="shared" si="0"/>
        <v/>
      </c>
      <c r="R28" s="331"/>
      <c r="S28" s="332"/>
      <c r="T28" s="56"/>
      <c r="U28" s="41"/>
      <c r="V28" s="41"/>
      <c r="W28" s="41"/>
      <c r="X28" s="41"/>
      <c r="Y28" s="41"/>
    </row>
    <row r="29" spans="1:25" s="47" customFormat="1" ht="19.5" customHeight="1">
      <c r="A29" s="56"/>
      <c r="B29" s="97"/>
      <c r="C29" s="360"/>
      <c r="D29" s="360"/>
      <c r="E29" s="360"/>
      <c r="F29" s="360"/>
      <c r="G29" s="360"/>
      <c r="H29" s="360"/>
      <c r="I29" s="360"/>
      <c r="J29" s="360"/>
      <c r="K29" s="361"/>
      <c r="L29" s="361"/>
      <c r="M29" s="361"/>
      <c r="N29" s="329" t="str">
        <f>Tables!H300</f>
        <v/>
      </c>
      <c r="O29" s="329"/>
      <c r="P29" s="329"/>
      <c r="Q29" s="330" t="str">
        <f t="shared" si="0"/>
        <v/>
      </c>
      <c r="R29" s="331"/>
      <c r="S29" s="332"/>
      <c r="T29" s="56"/>
      <c r="U29" s="41"/>
      <c r="V29" s="41"/>
      <c r="W29" s="41"/>
      <c r="X29" s="41"/>
      <c r="Y29" s="41"/>
    </row>
    <row r="30" spans="1:25" s="47" customFormat="1" ht="19.5" customHeight="1">
      <c r="A30" s="56"/>
      <c r="B30" s="57"/>
      <c r="C30" s="57"/>
      <c r="D30" s="57"/>
      <c r="E30" s="57"/>
      <c r="F30" s="57"/>
      <c r="G30" s="57"/>
      <c r="H30" s="57"/>
      <c r="I30" s="57"/>
      <c r="J30" s="57"/>
      <c r="K30" s="57"/>
      <c r="L30" s="57"/>
      <c r="M30" s="57"/>
      <c r="N30" s="57"/>
      <c r="O30" s="57"/>
      <c r="P30" s="72" t="s">
        <v>297</v>
      </c>
      <c r="Q30" s="357">
        <f>SUM(Q21:S29)</f>
        <v>94861.294443130435</v>
      </c>
      <c r="R30" s="358"/>
      <c r="S30" s="359"/>
      <c r="T30" s="58" t="s">
        <v>211</v>
      </c>
      <c r="U30" s="41"/>
      <c r="V30" s="41"/>
      <c r="W30" s="41"/>
      <c r="X30" s="41"/>
      <c r="Y30" s="41"/>
    </row>
    <row r="31" spans="1:25" s="49" customFormat="1" ht="3.75" customHeight="1">
      <c r="A31" s="68"/>
      <c r="B31" s="69"/>
      <c r="C31" s="69"/>
      <c r="D31" s="69"/>
      <c r="E31" s="69"/>
      <c r="F31" s="69"/>
      <c r="G31" s="69"/>
      <c r="H31" s="69"/>
      <c r="I31" s="69"/>
      <c r="J31" s="69"/>
      <c r="K31" s="69"/>
      <c r="L31" s="69"/>
      <c r="M31" s="69"/>
      <c r="N31" s="69"/>
      <c r="O31" s="69"/>
      <c r="P31" s="69"/>
      <c r="Q31" s="98"/>
      <c r="R31" s="98"/>
      <c r="S31" s="98"/>
      <c r="T31" s="68"/>
      <c r="U31" s="84"/>
      <c r="V31" s="84"/>
      <c r="W31" s="84"/>
      <c r="X31" s="84"/>
      <c r="Y31" s="84"/>
    </row>
    <row r="32" spans="1:25" s="47" customFormat="1" ht="19.5" customHeight="1">
      <c r="A32" s="58">
        <v>5</v>
      </c>
      <c r="B32" s="317" t="s">
        <v>212</v>
      </c>
      <c r="C32" s="317"/>
      <c r="D32" s="317"/>
      <c r="E32" s="317"/>
      <c r="F32" s="317"/>
      <c r="G32" s="317"/>
      <c r="H32" s="317"/>
      <c r="I32" s="317"/>
      <c r="J32" s="317"/>
      <c r="K32" s="99"/>
      <c r="L32" s="57"/>
      <c r="M32" s="57"/>
      <c r="N32" s="57"/>
      <c r="O32" s="57"/>
      <c r="P32" s="57"/>
      <c r="Q32" s="57"/>
      <c r="R32" s="57"/>
      <c r="S32" s="57"/>
      <c r="T32" s="56"/>
      <c r="U32" s="41"/>
      <c r="V32" s="41"/>
      <c r="W32" s="41"/>
      <c r="X32" s="41"/>
      <c r="Y32" s="41"/>
    </row>
    <row r="33" spans="1:25" s="47" customFormat="1" ht="19.5" customHeight="1">
      <c r="A33" s="56"/>
      <c r="B33" s="57"/>
      <c r="C33" s="57"/>
      <c r="D33" s="57"/>
      <c r="E33" s="57"/>
      <c r="F33" s="57"/>
      <c r="G33" s="72"/>
      <c r="H33" s="72"/>
      <c r="I33" s="72"/>
      <c r="J33" s="72" t="s">
        <v>16</v>
      </c>
      <c r="K33" s="352"/>
      <c r="L33" s="352"/>
      <c r="M33" s="352"/>
      <c r="N33" s="57" t="s">
        <v>413</v>
      </c>
      <c r="O33" s="78">
        <v>14.52</v>
      </c>
      <c r="P33" s="72" t="s">
        <v>439</v>
      </c>
      <c r="Q33" s="342">
        <f>K33*O33</f>
        <v>0</v>
      </c>
      <c r="R33" s="342"/>
      <c r="S33" s="342"/>
      <c r="T33" s="58" t="s">
        <v>213</v>
      </c>
      <c r="U33" s="41"/>
      <c r="V33" s="41"/>
      <c r="W33" s="41"/>
      <c r="X33" s="41"/>
      <c r="Y33" s="41"/>
    </row>
    <row r="34" spans="1:25" s="49" customFormat="1" ht="3.75" customHeight="1">
      <c r="A34" s="68"/>
      <c r="B34" s="69"/>
      <c r="C34" s="69"/>
      <c r="D34" s="69"/>
      <c r="E34" s="69"/>
      <c r="F34" s="69"/>
      <c r="G34" s="83"/>
      <c r="H34" s="83"/>
      <c r="I34" s="83"/>
      <c r="J34" s="83"/>
      <c r="K34" s="83"/>
      <c r="L34" s="83"/>
      <c r="M34" s="83"/>
      <c r="N34" s="83"/>
      <c r="O34" s="83"/>
      <c r="P34" s="83"/>
      <c r="Q34" s="83"/>
      <c r="R34" s="83"/>
      <c r="S34" s="83"/>
      <c r="T34" s="68"/>
      <c r="U34" s="84"/>
      <c r="V34" s="84"/>
      <c r="W34" s="84"/>
      <c r="X34" s="84"/>
      <c r="Y34" s="84"/>
    </row>
    <row r="35" spans="1:25" s="47" customFormat="1" ht="19.5" customHeight="1">
      <c r="A35" s="58">
        <v>6</v>
      </c>
      <c r="B35" s="317" t="s">
        <v>364</v>
      </c>
      <c r="C35" s="317"/>
      <c r="D35" s="317"/>
      <c r="E35" s="317"/>
      <c r="F35" s="317"/>
      <c r="G35" s="57"/>
      <c r="H35" s="57"/>
      <c r="I35" s="57"/>
      <c r="J35" s="57"/>
      <c r="K35" s="57"/>
      <c r="L35" s="57"/>
      <c r="M35" s="57"/>
      <c r="N35" s="57"/>
      <c r="O35" s="57"/>
      <c r="P35" s="57"/>
      <c r="Q35" s="57"/>
      <c r="R35" s="57"/>
      <c r="S35" s="57"/>
      <c r="T35" s="56"/>
      <c r="U35" s="41"/>
      <c r="V35" s="41"/>
      <c r="W35" s="41"/>
      <c r="X35" s="41"/>
      <c r="Y35" s="41"/>
    </row>
    <row r="36" spans="1:25" s="47" customFormat="1" ht="19.5" customHeight="1">
      <c r="A36" s="56"/>
      <c r="B36" s="57"/>
      <c r="C36" s="57"/>
      <c r="D36" s="57"/>
      <c r="E36" s="57"/>
      <c r="F36" s="57"/>
      <c r="G36" s="57"/>
      <c r="H36" s="57"/>
      <c r="I36" s="57"/>
      <c r="J36" s="57"/>
      <c r="K36" s="99"/>
      <c r="L36" s="57"/>
      <c r="M36" s="57"/>
      <c r="N36" s="57"/>
      <c r="O36" s="57"/>
      <c r="P36" s="72" t="s">
        <v>348</v>
      </c>
      <c r="Q36" s="342">
        <f>Q8+Q11+Q15+Q30+Q33</f>
        <v>580920.89444313035</v>
      </c>
      <c r="R36" s="342"/>
      <c r="S36" s="342"/>
      <c r="T36" s="58" t="s">
        <v>208</v>
      </c>
      <c r="U36" s="41"/>
      <c r="V36" s="41"/>
      <c r="W36" s="41"/>
      <c r="X36" s="41"/>
      <c r="Y36" s="41"/>
    </row>
    <row r="37" spans="1:25" s="47" customFormat="1" ht="19.5" customHeight="1">
      <c r="A37" s="56"/>
      <c r="B37" s="57"/>
      <c r="C37" s="57"/>
      <c r="D37" s="57"/>
      <c r="E37" s="57"/>
      <c r="F37" s="57"/>
      <c r="G37" s="57"/>
      <c r="H37" s="57"/>
      <c r="I37" s="57"/>
      <c r="J37" s="57"/>
      <c r="K37" s="57"/>
      <c r="L37" s="57"/>
      <c r="M37" s="57"/>
      <c r="N37" s="57"/>
      <c r="O37" s="57"/>
      <c r="P37" s="57"/>
      <c r="Q37" s="57"/>
      <c r="R37" s="57"/>
      <c r="S37" s="72" t="s">
        <v>365</v>
      </c>
      <c r="T37" s="59"/>
      <c r="U37" s="41"/>
      <c r="V37" s="41"/>
      <c r="W37" s="41"/>
      <c r="X37" s="41"/>
      <c r="Y37" s="41"/>
    </row>
    <row r="38" spans="1:25" s="47" customFormat="1" ht="14.25" customHeight="1">
      <c r="A38" s="36"/>
      <c r="B38" s="4"/>
      <c r="C38" s="4"/>
      <c r="D38" s="4"/>
      <c r="E38" s="4"/>
      <c r="F38" s="4"/>
      <c r="G38" s="4"/>
      <c r="H38" s="4"/>
      <c r="I38" s="4"/>
      <c r="J38" s="4"/>
      <c r="K38" s="4"/>
      <c r="L38" s="4"/>
      <c r="M38" s="4"/>
      <c r="N38" s="4"/>
      <c r="O38" s="4"/>
      <c r="P38" s="4"/>
      <c r="Q38" s="4"/>
      <c r="R38" s="4"/>
      <c r="S38" s="4"/>
      <c r="T38" s="36"/>
      <c r="U38" s="41"/>
      <c r="V38" s="41"/>
      <c r="W38" s="41"/>
      <c r="X38" s="41"/>
      <c r="Y38" s="41"/>
    </row>
    <row r="39" spans="1:25" s="47" customFormat="1" ht="14.25" customHeight="1">
      <c r="A39" s="36"/>
      <c r="B39" s="4"/>
      <c r="C39" s="4"/>
      <c r="D39" s="4"/>
      <c r="E39" s="4"/>
      <c r="F39" s="4"/>
      <c r="G39" s="4"/>
      <c r="H39" s="4"/>
      <c r="I39" s="4"/>
      <c r="J39" s="4"/>
      <c r="K39" s="4"/>
      <c r="L39" s="4"/>
      <c r="M39" s="4"/>
      <c r="N39" s="4"/>
      <c r="O39" s="4"/>
      <c r="P39" s="4"/>
      <c r="Q39" s="4"/>
      <c r="R39" s="4"/>
      <c r="S39" s="4"/>
      <c r="T39" s="36"/>
      <c r="U39" s="41"/>
      <c r="V39" s="41"/>
      <c r="W39" s="41"/>
      <c r="X39" s="41"/>
      <c r="Y39" s="41"/>
    </row>
    <row r="40" spans="1:25" s="47" customFormat="1" ht="14.25" customHeight="1">
      <c r="A40" s="36"/>
      <c r="B40" s="4"/>
      <c r="C40" s="4"/>
      <c r="D40" s="4"/>
      <c r="E40" s="4"/>
      <c r="F40" s="4"/>
      <c r="G40" s="4"/>
      <c r="H40" s="4"/>
      <c r="I40" s="4"/>
      <c r="J40" s="4"/>
      <c r="K40" s="4"/>
      <c r="L40" s="4"/>
      <c r="M40" s="4"/>
      <c r="N40" s="4"/>
      <c r="O40" s="4"/>
      <c r="P40" s="4"/>
      <c r="Q40" s="4"/>
      <c r="R40" s="4"/>
      <c r="S40" s="4"/>
      <c r="T40" s="36"/>
      <c r="U40" s="41"/>
      <c r="V40" s="41"/>
      <c r="W40" s="41"/>
      <c r="X40" s="41"/>
      <c r="Y40" s="41"/>
    </row>
    <row r="41" spans="1:25" s="47" customFormat="1" ht="14.25" customHeight="1">
      <c r="A41" s="36"/>
      <c r="B41" s="4"/>
      <c r="C41" s="4"/>
      <c r="D41" s="88"/>
      <c r="E41" s="4"/>
      <c r="F41" s="4"/>
      <c r="G41" s="4"/>
      <c r="H41" s="4"/>
      <c r="I41" s="4"/>
      <c r="J41" s="4"/>
      <c r="K41" s="4"/>
      <c r="L41" s="4"/>
      <c r="M41" s="4"/>
      <c r="N41" s="4"/>
      <c r="O41" s="4"/>
      <c r="P41" s="100"/>
      <c r="Q41" s="4"/>
      <c r="R41" s="4"/>
      <c r="S41" s="4"/>
      <c r="T41" s="36"/>
      <c r="U41" s="41"/>
      <c r="V41" s="41"/>
      <c r="W41" s="41"/>
      <c r="X41" s="41"/>
      <c r="Y41" s="41"/>
    </row>
    <row r="42" spans="1:25" s="47" customFormat="1" ht="14.25" customHeight="1">
      <c r="A42" s="36"/>
      <c r="B42" s="4"/>
      <c r="C42" s="4"/>
      <c r="D42" s="88"/>
      <c r="E42" s="4"/>
      <c r="F42" s="4"/>
      <c r="G42" s="4"/>
      <c r="H42" s="4"/>
      <c r="I42" s="4"/>
      <c r="J42" s="4"/>
      <c r="K42" s="4"/>
      <c r="L42" s="4"/>
      <c r="M42" s="4"/>
      <c r="N42" s="4"/>
      <c r="O42" s="4"/>
      <c r="P42" s="100"/>
      <c r="Q42" s="4"/>
      <c r="R42" s="4"/>
      <c r="S42" s="4"/>
      <c r="T42" s="36"/>
      <c r="U42" s="41"/>
      <c r="V42" s="41"/>
      <c r="W42" s="41"/>
      <c r="X42" s="41"/>
      <c r="Y42" s="41"/>
    </row>
    <row r="43" spans="1:25" s="47" customFormat="1" ht="14.25" customHeight="1">
      <c r="A43" s="36"/>
      <c r="B43" s="4"/>
      <c r="C43" s="4"/>
      <c r="D43" s="88"/>
      <c r="E43" s="4"/>
      <c r="F43" s="4"/>
      <c r="G43" s="4"/>
      <c r="H43" s="4"/>
      <c r="I43" s="4"/>
      <c r="J43" s="4"/>
      <c r="K43" s="4"/>
      <c r="L43" s="4"/>
      <c r="M43" s="4"/>
      <c r="N43" s="4"/>
      <c r="O43" s="4"/>
      <c r="P43" s="100"/>
      <c r="Q43" s="4"/>
      <c r="R43" s="4"/>
      <c r="S43" s="4"/>
      <c r="T43" s="36"/>
      <c r="U43" s="41"/>
      <c r="V43" s="41"/>
      <c r="W43" s="41"/>
      <c r="X43" s="41"/>
      <c r="Y43" s="41"/>
    </row>
    <row r="44" spans="1:25" s="47" customFormat="1" ht="14.25" customHeight="1">
      <c r="A44" s="4"/>
      <c r="B44" s="4"/>
      <c r="C44" s="4"/>
      <c r="D44" s="4"/>
      <c r="E44" s="4"/>
      <c r="F44" s="4"/>
      <c r="G44" s="4"/>
      <c r="H44" s="4"/>
      <c r="I44" s="4"/>
      <c r="J44" s="4"/>
      <c r="K44" s="4"/>
      <c r="L44" s="4"/>
      <c r="M44" s="4"/>
      <c r="N44" s="4"/>
      <c r="O44" s="4"/>
      <c r="P44" s="4"/>
      <c r="Q44" s="89"/>
      <c r="R44" s="89"/>
      <c r="S44" s="89"/>
      <c r="T44" s="36"/>
      <c r="U44" s="41"/>
      <c r="V44" s="41"/>
      <c r="W44" s="41"/>
      <c r="X44" s="41"/>
      <c r="Y44" s="41"/>
    </row>
    <row r="45" spans="1:25" s="47" customFormat="1" ht="14.25" customHeight="1">
      <c r="A45" s="4"/>
      <c r="B45" s="4"/>
      <c r="C45" s="4"/>
      <c r="D45" s="4"/>
      <c r="E45" s="4"/>
      <c r="F45" s="4"/>
      <c r="G45" s="4"/>
      <c r="H45" s="4"/>
      <c r="I45" s="4"/>
      <c r="J45" s="4"/>
      <c r="K45" s="4"/>
      <c r="L45" s="4"/>
      <c r="M45" s="4"/>
      <c r="N45" s="4"/>
      <c r="O45" s="4"/>
      <c r="P45" s="4"/>
      <c r="Q45" s="89"/>
      <c r="R45" s="89"/>
      <c r="S45" s="89"/>
      <c r="T45" s="36"/>
      <c r="U45" s="41"/>
      <c r="V45" s="41"/>
      <c r="W45" s="41"/>
      <c r="X45" s="41"/>
      <c r="Y45" s="41"/>
    </row>
    <row r="46" spans="1:25" s="47" customFormat="1" ht="14.25" customHeight="1">
      <c r="A46" s="4"/>
      <c r="B46" s="4"/>
      <c r="C46" s="4"/>
      <c r="D46" s="4"/>
      <c r="E46" s="4"/>
      <c r="F46" s="4"/>
      <c r="G46" s="4"/>
      <c r="H46" s="4"/>
      <c r="I46" s="4"/>
      <c r="J46" s="4"/>
      <c r="K46" s="4"/>
      <c r="L46" s="4"/>
      <c r="M46" s="4"/>
      <c r="N46" s="4"/>
      <c r="O46" s="4"/>
      <c r="P46" s="4"/>
      <c r="Q46" s="101"/>
      <c r="R46" s="101"/>
      <c r="S46" s="101"/>
      <c r="T46" s="36"/>
      <c r="U46" s="41"/>
      <c r="V46" s="41"/>
      <c r="W46" s="41"/>
      <c r="X46" s="41"/>
      <c r="Y46" s="41"/>
    </row>
    <row r="47" spans="1:25" s="47" customFormat="1" ht="14.25" customHeight="1">
      <c r="A47" s="4"/>
      <c r="B47" s="4"/>
      <c r="C47" s="4"/>
      <c r="D47" s="4"/>
      <c r="E47" s="4"/>
      <c r="F47" s="4"/>
      <c r="G47" s="4"/>
      <c r="H47" s="4"/>
      <c r="I47" s="4"/>
      <c r="J47" s="4"/>
      <c r="K47" s="4"/>
      <c r="L47" s="4"/>
      <c r="M47" s="4"/>
      <c r="N47" s="4"/>
      <c r="O47" s="4"/>
      <c r="P47" s="4"/>
      <c r="Q47" s="101"/>
      <c r="R47" s="101"/>
      <c r="S47" s="101"/>
      <c r="T47" s="36"/>
      <c r="U47" s="41"/>
      <c r="V47" s="41"/>
      <c r="W47" s="41"/>
      <c r="X47" s="41"/>
      <c r="Y47" s="41"/>
    </row>
    <row r="48" spans="1:25" s="47" customFormat="1" ht="11.25">
      <c r="A48" s="41"/>
      <c r="B48" s="41"/>
      <c r="C48" s="41"/>
      <c r="D48" s="41"/>
      <c r="E48" s="41"/>
      <c r="F48" s="41"/>
      <c r="G48" s="41"/>
      <c r="H48" s="41"/>
      <c r="I48" s="41"/>
      <c r="J48" s="41"/>
      <c r="K48" s="41"/>
      <c r="L48" s="41"/>
      <c r="M48" s="41"/>
      <c r="N48" s="41"/>
      <c r="O48" s="41"/>
      <c r="P48" s="41"/>
      <c r="Q48" s="41"/>
      <c r="R48" s="41"/>
      <c r="S48" s="41"/>
      <c r="T48" s="54"/>
      <c r="U48" s="41"/>
      <c r="V48" s="41"/>
      <c r="W48" s="41"/>
      <c r="X48" s="41"/>
      <c r="Y48" s="41"/>
    </row>
    <row r="49" spans="1:25" s="38" customFormat="1">
      <c r="A49" s="41">
        <v>0</v>
      </c>
      <c r="B49" s="41"/>
      <c r="C49" s="41"/>
      <c r="D49" s="41"/>
      <c r="E49" s="41"/>
      <c r="F49" s="41"/>
      <c r="G49" s="41"/>
      <c r="H49" s="41"/>
      <c r="I49" s="41"/>
      <c r="J49" s="41"/>
      <c r="K49" s="41"/>
      <c r="L49" s="41"/>
      <c r="M49" s="41"/>
      <c r="N49" s="41"/>
      <c r="O49" s="41"/>
      <c r="P49" s="41"/>
      <c r="Q49" s="41"/>
      <c r="R49" s="41"/>
      <c r="S49" s="41"/>
      <c r="T49" s="54"/>
      <c r="U49" s="41"/>
      <c r="V49" s="41"/>
      <c r="W49" s="41"/>
      <c r="X49" s="41"/>
      <c r="Y49" s="41"/>
    </row>
    <row r="50" spans="1:25" s="38" customFormat="1">
      <c r="A50" s="41">
        <v>1</v>
      </c>
      <c r="B50" s="41"/>
      <c r="C50" s="41"/>
      <c r="D50" s="41"/>
      <c r="E50" s="41"/>
      <c r="F50" s="41"/>
      <c r="G50" s="41"/>
      <c r="H50" s="41"/>
      <c r="I50" s="41"/>
      <c r="J50" s="41"/>
      <c r="K50" s="41"/>
      <c r="L50" s="41"/>
      <c r="M50" s="41"/>
      <c r="N50" s="41"/>
      <c r="O50" s="41"/>
      <c r="P50" s="41"/>
      <c r="Q50" s="41"/>
      <c r="R50" s="41"/>
      <c r="S50" s="41"/>
      <c r="T50" s="54"/>
      <c r="U50" s="41"/>
      <c r="V50" s="41"/>
      <c r="W50" s="41"/>
      <c r="X50" s="41"/>
      <c r="Y50" s="41"/>
    </row>
    <row r="51" spans="1:25" s="38" customFormat="1">
      <c r="A51" s="41">
        <v>2</v>
      </c>
      <c r="B51" s="41"/>
      <c r="C51" s="41"/>
      <c r="D51" s="41"/>
      <c r="E51" s="41"/>
      <c r="F51" s="41"/>
      <c r="G51" s="41"/>
      <c r="H51" s="41"/>
      <c r="I51" s="41"/>
      <c r="J51" s="41"/>
      <c r="K51" s="41"/>
      <c r="L51" s="41"/>
      <c r="M51" s="41"/>
      <c r="N51" s="41"/>
      <c r="O51" s="41"/>
      <c r="P51" s="41"/>
      <c r="Q51" s="41"/>
      <c r="R51" s="41"/>
      <c r="S51" s="41"/>
      <c r="T51" s="54"/>
      <c r="U51" s="41"/>
      <c r="V51" s="41"/>
      <c r="W51" s="41"/>
      <c r="X51" s="41"/>
      <c r="Y51" s="41"/>
    </row>
    <row r="52" spans="1:25" s="38" customFormat="1">
      <c r="A52" s="41">
        <v>3</v>
      </c>
      <c r="B52" s="41"/>
      <c r="C52" s="41"/>
      <c r="D52" s="41"/>
      <c r="E52" s="41"/>
      <c r="F52" s="41"/>
      <c r="G52" s="41"/>
      <c r="H52" s="41"/>
      <c r="I52" s="41"/>
      <c r="J52" s="41"/>
      <c r="K52" s="41"/>
      <c r="L52" s="41"/>
      <c r="M52" s="41"/>
      <c r="N52" s="41"/>
      <c r="O52" s="41"/>
      <c r="P52" s="41"/>
      <c r="Q52" s="41"/>
      <c r="R52" s="41"/>
      <c r="S52" s="41"/>
      <c r="T52" s="54"/>
      <c r="U52" s="41"/>
      <c r="V52" s="41"/>
      <c r="W52" s="41"/>
      <c r="X52" s="41"/>
      <c r="Y52" s="41"/>
    </row>
    <row r="53" spans="1:25" s="38" customFormat="1">
      <c r="A53" s="41">
        <v>4</v>
      </c>
      <c r="B53" s="41"/>
      <c r="C53" s="41"/>
      <c r="D53" s="41"/>
      <c r="E53" s="41"/>
      <c r="F53" s="41"/>
      <c r="G53" s="41"/>
      <c r="H53" s="41"/>
      <c r="I53" s="41"/>
      <c r="J53" s="41"/>
      <c r="K53" s="41"/>
      <c r="L53" s="41"/>
      <c r="M53" s="41"/>
      <c r="N53" s="41"/>
      <c r="O53" s="41"/>
      <c r="P53" s="41"/>
      <c r="Q53" s="41"/>
      <c r="R53" s="41"/>
      <c r="S53" s="41"/>
      <c r="T53" s="54"/>
      <c r="U53" s="41"/>
      <c r="V53" s="41"/>
      <c r="W53" s="41"/>
      <c r="X53" s="41"/>
      <c r="Y53" s="41"/>
    </row>
    <row r="54" spans="1:25" s="38" customFormat="1">
      <c r="A54" s="41">
        <v>5</v>
      </c>
      <c r="B54" s="41"/>
      <c r="C54" s="41"/>
      <c r="D54" s="41"/>
      <c r="E54" s="41"/>
      <c r="F54" s="41"/>
      <c r="G54" s="41"/>
      <c r="H54" s="41"/>
      <c r="I54" s="41"/>
      <c r="J54" s="41"/>
      <c r="K54" s="41"/>
      <c r="L54" s="41"/>
      <c r="M54" s="41"/>
      <c r="N54" s="41"/>
      <c r="O54" s="41"/>
      <c r="P54" s="41"/>
      <c r="Q54" s="41"/>
      <c r="R54" s="41"/>
      <c r="S54" s="41"/>
      <c r="T54" s="54"/>
      <c r="U54" s="41"/>
      <c r="V54" s="41"/>
      <c r="W54" s="41"/>
      <c r="X54" s="41"/>
      <c r="Y54" s="41"/>
    </row>
    <row r="55" spans="1:25" s="38" customFormat="1">
      <c r="A55" s="41">
        <v>6</v>
      </c>
      <c r="B55" s="41"/>
      <c r="C55" s="41"/>
      <c r="D55" s="41"/>
      <c r="E55" s="41"/>
      <c r="F55" s="41"/>
      <c r="G55" s="41"/>
      <c r="H55" s="41"/>
      <c r="I55" s="41"/>
      <c r="J55" s="41"/>
      <c r="K55" s="41"/>
      <c r="L55" s="41"/>
      <c r="M55" s="41"/>
      <c r="N55" s="41"/>
      <c r="O55" s="41"/>
      <c r="P55" s="41"/>
      <c r="Q55" s="41"/>
      <c r="R55" s="41"/>
      <c r="S55" s="41"/>
      <c r="T55" s="54"/>
      <c r="U55" s="41"/>
      <c r="V55" s="41"/>
      <c r="W55" s="41"/>
      <c r="X55" s="41"/>
      <c r="Y55" s="41"/>
    </row>
    <row r="56" spans="1:25" s="38" customFormat="1">
      <c r="A56" s="41">
        <v>7</v>
      </c>
      <c r="B56" s="41"/>
      <c r="C56" s="41"/>
      <c r="D56" s="41"/>
      <c r="E56" s="41"/>
      <c r="F56" s="41"/>
      <c r="G56" s="41"/>
      <c r="H56" s="41"/>
      <c r="I56" s="41"/>
      <c r="J56" s="41"/>
      <c r="K56" s="41"/>
      <c r="L56" s="41"/>
      <c r="M56" s="41"/>
      <c r="N56" s="41"/>
      <c r="O56" s="41"/>
      <c r="P56" s="41"/>
      <c r="Q56" s="41"/>
      <c r="R56" s="41"/>
      <c r="S56" s="41"/>
      <c r="T56" s="54"/>
      <c r="U56" s="41"/>
      <c r="V56" s="41"/>
      <c r="W56" s="41"/>
      <c r="X56" s="41"/>
      <c r="Y56" s="41"/>
    </row>
    <row r="57" spans="1:25" s="38" customFormat="1">
      <c r="A57" s="41">
        <v>8</v>
      </c>
      <c r="B57" s="41"/>
      <c r="C57" s="41"/>
      <c r="D57" s="41"/>
      <c r="E57" s="41"/>
      <c r="F57" s="41"/>
      <c r="G57" s="41"/>
      <c r="H57" s="41"/>
      <c r="I57" s="41"/>
      <c r="J57" s="41"/>
      <c r="K57" s="41"/>
      <c r="L57" s="41"/>
      <c r="M57" s="41"/>
      <c r="N57" s="41"/>
      <c r="O57" s="41"/>
      <c r="P57" s="41"/>
      <c r="Q57" s="41"/>
      <c r="R57" s="41"/>
      <c r="S57" s="41"/>
      <c r="T57" s="54"/>
      <c r="U57" s="41"/>
      <c r="V57" s="41"/>
      <c r="W57" s="41"/>
      <c r="X57" s="41"/>
      <c r="Y57" s="41"/>
    </row>
    <row r="58" spans="1:25" s="38" customFormat="1">
      <c r="A58" s="41">
        <v>9</v>
      </c>
      <c r="B58" s="41"/>
      <c r="C58" s="41"/>
      <c r="D58" s="41"/>
      <c r="E58" s="41"/>
      <c r="F58" s="41"/>
      <c r="G58" s="41"/>
      <c r="H58" s="41"/>
      <c r="I58" s="41"/>
      <c r="J58" s="41"/>
      <c r="K58" s="41"/>
      <c r="L58" s="41"/>
      <c r="M58" s="41"/>
      <c r="N58" s="41"/>
      <c r="O58" s="41"/>
      <c r="P58" s="41"/>
      <c r="Q58" s="41"/>
      <c r="R58" s="41"/>
      <c r="S58" s="41"/>
      <c r="T58" s="54"/>
      <c r="U58" s="41"/>
      <c r="V58" s="41"/>
      <c r="W58" s="41"/>
      <c r="X58" s="41"/>
      <c r="Y58" s="41"/>
    </row>
    <row r="59" spans="1:25" s="38" customFormat="1">
      <c r="A59" s="41">
        <v>10</v>
      </c>
      <c r="B59" s="41"/>
      <c r="C59" s="41"/>
      <c r="D59" s="41"/>
      <c r="E59" s="41"/>
      <c r="F59" s="41"/>
      <c r="G59" s="41"/>
      <c r="H59" s="41"/>
      <c r="I59" s="41"/>
      <c r="J59" s="41"/>
      <c r="K59" s="41"/>
      <c r="L59" s="41"/>
      <c r="M59" s="41"/>
      <c r="N59" s="41"/>
      <c r="O59" s="41"/>
      <c r="P59" s="41"/>
      <c r="Q59" s="41"/>
      <c r="R59" s="41"/>
      <c r="S59" s="41"/>
      <c r="T59" s="54"/>
      <c r="U59" s="41"/>
      <c r="V59" s="41"/>
      <c r="W59" s="41"/>
      <c r="X59" s="41"/>
      <c r="Y59" s="41"/>
    </row>
    <row r="60" spans="1:25" s="38" customFormat="1">
      <c r="A60" s="41">
        <v>11</v>
      </c>
      <c r="B60" s="41"/>
      <c r="C60" s="41"/>
      <c r="D60" s="41"/>
      <c r="E60" s="41"/>
      <c r="F60" s="41"/>
      <c r="G60" s="41"/>
      <c r="H60" s="41"/>
      <c r="I60" s="41"/>
      <c r="J60" s="41"/>
      <c r="K60" s="41"/>
      <c r="L60" s="41"/>
      <c r="M60" s="41"/>
      <c r="N60" s="41"/>
      <c r="O60" s="41"/>
      <c r="P60" s="41"/>
      <c r="Q60" s="41"/>
      <c r="R60" s="41"/>
      <c r="S60" s="41"/>
      <c r="T60" s="54"/>
      <c r="U60" s="41"/>
      <c r="V60" s="41"/>
      <c r="W60" s="41"/>
      <c r="X60" s="41"/>
      <c r="Y60" s="41"/>
    </row>
    <row r="61" spans="1:25" s="38" customFormat="1">
      <c r="A61" s="41">
        <v>12</v>
      </c>
      <c r="B61" s="41"/>
      <c r="C61" s="41"/>
      <c r="D61" s="41"/>
      <c r="E61" s="41"/>
      <c r="F61" s="41"/>
      <c r="G61" s="41"/>
      <c r="H61" s="41"/>
      <c r="I61" s="41"/>
      <c r="J61" s="41"/>
      <c r="K61" s="41"/>
      <c r="L61" s="41"/>
      <c r="M61" s="41"/>
      <c r="N61" s="41"/>
      <c r="O61" s="41"/>
      <c r="P61" s="41"/>
      <c r="Q61" s="41"/>
      <c r="R61" s="41"/>
      <c r="S61" s="41"/>
      <c r="T61" s="54"/>
      <c r="U61" s="41"/>
      <c r="V61" s="41"/>
      <c r="W61" s="41"/>
      <c r="X61" s="41"/>
      <c r="Y61" s="41"/>
    </row>
    <row r="62" spans="1:25" s="38" customFormat="1">
      <c r="A62" s="41">
        <v>13</v>
      </c>
      <c r="B62" s="41"/>
      <c r="C62" s="41"/>
      <c r="D62" s="41"/>
      <c r="E62" s="41"/>
      <c r="F62" s="41"/>
      <c r="G62" s="41"/>
      <c r="H62" s="41"/>
      <c r="I62" s="41"/>
      <c r="J62" s="41"/>
      <c r="K62" s="41"/>
      <c r="L62" s="41"/>
      <c r="M62" s="41"/>
      <c r="N62" s="41"/>
      <c r="O62" s="41"/>
      <c r="P62" s="41"/>
      <c r="Q62" s="41"/>
      <c r="R62" s="41"/>
      <c r="S62" s="41"/>
      <c r="T62" s="54"/>
      <c r="U62" s="41"/>
      <c r="V62" s="41"/>
      <c r="W62" s="41"/>
      <c r="X62" s="41"/>
      <c r="Y62" s="41"/>
    </row>
    <row r="63" spans="1:25" s="38" customFormat="1">
      <c r="A63" s="41">
        <v>14</v>
      </c>
      <c r="B63" s="41"/>
      <c r="C63" s="41"/>
      <c r="D63" s="41"/>
      <c r="E63" s="41"/>
      <c r="F63" s="41"/>
      <c r="G63" s="41"/>
      <c r="H63" s="41"/>
      <c r="I63" s="41"/>
      <c r="J63" s="41"/>
      <c r="K63" s="41"/>
      <c r="L63" s="41"/>
      <c r="M63" s="41"/>
      <c r="N63" s="41"/>
      <c r="O63" s="41"/>
      <c r="P63" s="41"/>
      <c r="Q63" s="41"/>
      <c r="R63" s="41"/>
      <c r="S63" s="41"/>
      <c r="T63" s="54"/>
      <c r="U63" s="41"/>
      <c r="V63" s="41"/>
      <c r="W63" s="41"/>
      <c r="X63" s="41"/>
      <c r="Y63" s="41"/>
    </row>
    <row r="64" spans="1:25" s="38" customFormat="1">
      <c r="A64" s="41">
        <v>15</v>
      </c>
      <c r="B64" s="41"/>
      <c r="C64" s="41"/>
      <c r="D64" s="41"/>
      <c r="E64" s="41"/>
      <c r="F64" s="41"/>
      <c r="G64" s="41"/>
      <c r="H64" s="41"/>
      <c r="I64" s="41"/>
      <c r="J64" s="41"/>
      <c r="K64" s="41"/>
      <c r="L64" s="41"/>
      <c r="M64" s="41"/>
      <c r="N64" s="41"/>
      <c r="O64" s="41"/>
      <c r="P64" s="41"/>
      <c r="Q64" s="41"/>
      <c r="R64" s="41"/>
      <c r="S64" s="41"/>
      <c r="T64" s="54"/>
      <c r="U64" s="41"/>
      <c r="V64" s="41"/>
      <c r="W64" s="41"/>
      <c r="X64" s="41"/>
      <c r="Y64" s="41"/>
    </row>
    <row r="65" spans="1:25" s="38" customFormat="1">
      <c r="A65" s="41">
        <v>16</v>
      </c>
      <c r="B65" s="41"/>
      <c r="C65" s="41"/>
      <c r="D65" s="41"/>
      <c r="E65" s="41"/>
      <c r="F65" s="41"/>
      <c r="G65" s="41"/>
      <c r="H65" s="41"/>
      <c r="I65" s="41"/>
      <c r="J65" s="41"/>
      <c r="K65" s="41"/>
      <c r="L65" s="41"/>
      <c r="M65" s="41"/>
      <c r="N65" s="41"/>
      <c r="O65" s="41"/>
      <c r="P65" s="41"/>
      <c r="Q65" s="41"/>
      <c r="R65" s="41"/>
      <c r="S65" s="41"/>
      <c r="T65" s="54"/>
      <c r="U65" s="41"/>
      <c r="V65" s="41"/>
      <c r="W65" s="41"/>
      <c r="X65" s="41"/>
      <c r="Y65" s="41"/>
    </row>
    <row r="66" spans="1:25" s="38" customFormat="1">
      <c r="A66" s="41">
        <v>17</v>
      </c>
      <c r="B66" s="41"/>
      <c r="C66" s="41"/>
      <c r="D66" s="41"/>
      <c r="E66" s="41"/>
      <c r="F66" s="41"/>
      <c r="G66" s="41"/>
      <c r="H66" s="41"/>
      <c r="I66" s="41"/>
      <c r="J66" s="41"/>
      <c r="K66" s="41"/>
      <c r="L66" s="41"/>
      <c r="M66" s="41"/>
      <c r="N66" s="41"/>
      <c r="O66" s="41"/>
      <c r="P66" s="41"/>
      <c r="Q66" s="41"/>
      <c r="R66" s="41"/>
      <c r="S66" s="41"/>
      <c r="T66" s="54"/>
      <c r="U66" s="41"/>
      <c r="V66" s="41"/>
      <c r="W66" s="41"/>
      <c r="X66" s="41"/>
      <c r="Y66" s="41"/>
    </row>
    <row r="67" spans="1:25" s="38" customFormat="1">
      <c r="A67" s="41">
        <v>18</v>
      </c>
      <c r="B67" s="41"/>
      <c r="C67" s="41"/>
      <c r="D67" s="41"/>
      <c r="E67" s="41"/>
      <c r="F67" s="41"/>
      <c r="G67" s="41"/>
      <c r="H67" s="41"/>
      <c r="I67" s="41"/>
      <c r="J67" s="41"/>
      <c r="K67" s="41"/>
      <c r="L67" s="41"/>
      <c r="M67" s="41"/>
      <c r="N67" s="41"/>
      <c r="O67" s="41"/>
      <c r="P67" s="41"/>
      <c r="Q67" s="41"/>
      <c r="R67" s="41"/>
      <c r="S67" s="41"/>
      <c r="T67" s="54"/>
      <c r="U67" s="41"/>
      <c r="V67" s="41"/>
      <c r="W67" s="41"/>
      <c r="X67" s="41"/>
      <c r="Y67" s="41"/>
    </row>
    <row r="68" spans="1:25" s="38" customFormat="1">
      <c r="A68" s="41">
        <v>19</v>
      </c>
      <c r="B68" s="41"/>
      <c r="C68" s="41"/>
      <c r="D68" s="41"/>
      <c r="E68" s="41"/>
      <c r="F68" s="41"/>
      <c r="G68" s="41"/>
      <c r="H68" s="41"/>
      <c r="I68" s="41"/>
      <c r="J68" s="41"/>
      <c r="K68" s="41"/>
      <c r="L68" s="41"/>
      <c r="M68" s="41"/>
      <c r="N68" s="41"/>
      <c r="O68" s="41"/>
      <c r="P68" s="41"/>
      <c r="Q68" s="41"/>
      <c r="R68" s="41"/>
      <c r="S68" s="41"/>
      <c r="T68" s="54"/>
      <c r="U68" s="41"/>
      <c r="V68" s="41"/>
      <c r="W68" s="41"/>
      <c r="X68" s="41"/>
      <c r="Y68" s="41"/>
    </row>
    <row r="69" spans="1:25" s="38" customFormat="1">
      <c r="A69" s="41">
        <v>20</v>
      </c>
      <c r="B69" s="41"/>
      <c r="C69" s="41"/>
      <c r="D69" s="41"/>
      <c r="E69" s="41"/>
      <c r="F69" s="41"/>
      <c r="G69" s="41"/>
      <c r="H69" s="41"/>
      <c r="I69" s="41"/>
      <c r="J69" s="41"/>
      <c r="K69" s="41"/>
      <c r="L69" s="41"/>
      <c r="M69" s="41"/>
      <c r="N69" s="41"/>
      <c r="O69" s="41"/>
      <c r="P69" s="41"/>
      <c r="Q69" s="41"/>
      <c r="R69" s="41"/>
      <c r="S69" s="41"/>
      <c r="T69" s="54"/>
      <c r="U69" s="41"/>
      <c r="V69" s="41"/>
      <c r="W69" s="41"/>
      <c r="X69" s="41"/>
      <c r="Y69" s="41"/>
    </row>
    <row r="70" spans="1:25" s="38" customFormat="1">
      <c r="A70" s="41">
        <v>21</v>
      </c>
      <c r="B70" s="41"/>
      <c r="C70" s="41"/>
      <c r="D70" s="41"/>
      <c r="E70" s="41"/>
      <c r="F70" s="41"/>
      <c r="G70" s="41"/>
      <c r="H70" s="41"/>
      <c r="I70" s="41"/>
      <c r="J70" s="41"/>
      <c r="K70" s="41"/>
      <c r="L70" s="41"/>
      <c r="M70" s="41"/>
      <c r="N70" s="41"/>
      <c r="O70" s="41"/>
      <c r="P70" s="41"/>
      <c r="Q70" s="41"/>
      <c r="R70" s="41"/>
      <c r="S70" s="41"/>
      <c r="T70" s="54"/>
      <c r="U70" s="41"/>
      <c r="V70" s="41"/>
      <c r="W70" s="41"/>
      <c r="X70" s="41"/>
      <c r="Y70" s="41"/>
    </row>
    <row r="71" spans="1:25" s="38" customFormat="1">
      <c r="A71" s="41">
        <v>22</v>
      </c>
      <c r="B71" s="41"/>
      <c r="C71" s="41"/>
      <c r="D71" s="41"/>
      <c r="E71" s="41"/>
      <c r="F71" s="41"/>
      <c r="G71" s="41"/>
      <c r="H71" s="41"/>
      <c r="I71" s="41"/>
      <c r="J71" s="41"/>
      <c r="K71" s="41"/>
      <c r="L71" s="41"/>
      <c r="M71" s="41"/>
      <c r="N71" s="41"/>
      <c r="O71" s="41"/>
      <c r="P71" s="41"/>
      <c r="Q71" s="41"/>
      <c r="R71" s="41"/>
      <c r="S71" s="41"/>
      <c r="T71" s="54"/>
      <c r="U71" s="41"/>
      <c r="V71" s="41"/>
      <c r="W71" s="41"/>
      <c r="X71" s="41"/>
      <c r="Y71" s="41"/>
    </row>
    <row r="72" spans="1:25">
      <c r="A72" s="41">
        <v>23</v>
      </c>
      <c r="B72" s="90"/>
      <c r="C72" s="90"/>
      <c r="D72" s="90"/>
      <c r="E72" s="90"/>
      <c r="F72" s="90"/>
      <c r="G72" s="90"/>
      <c r="H72" s="90"/>
      <c r="I72" s="90"/>
      <c r="J72" s="90"/>
      <c r="K72" s="90"/>
      <c r="L72" s="90"/>
      <c r="M72" s="90"/>
      <c r="N72" s="90"/>
      <c r="O72" s="90"/>
      <c r="P72" s="90"/>
      <c r="Q72" s="90"/>
      <c r="R72" s="90"/>
      <c r="S72" s="90"/>
      <c r="T72" s="79"/>
      <c r="U72" s="90"/>
      <c r="V72" s="90"/>
      <c r="W72" s="90"/>
      <c r="X72" s="90"/>
      <c r="Y72" s="90"/>
    </row>
    <row r="73" spans="1:25">
      <c r="A73" s="41">
        <v>24</v>
      </c>
      <c r="B73" s="90"/>
      <c r="C73" s="90"/>
      <c r="D73" s="90"/>
      <c r="E73" s="90"/>
      <c r="F73" s="90"/>
      <c r="G73" s="90"/>
      <c r="H73" s="90"/>
      <c r="I73" s="90"/>
      <c r="J73" s="90"/>
      <c r="K73" s="90"/>
      <c r="L73" s="90"/>
      <c r="M73" s="90"/>
      <c r="N73" s="90"/>
      <c r="O73" s="90"/>
      <c r="P73" s="90"/>
      <c r="Q73" s="90"/>
      <c r="R73" s="90"/>
      <c r="S73" s="90"/>
      <c r="T73" s="79"/>
      <c r="U73" s="90"/>
      <c r="V73" s="90"/>
      <c r="W73" s="90"/>
      <c r="X73" s="90"/>
      <c r="Y73" s="90"/>
    </row>
    <row r="74" spans="1:25">
      <c r="A74" s="41">
        <v>25</v>
      </c>
      <c r="B74" s="90"/>
      <c r="C74" s="90"/>
      <c r="D74" s="90"/>
      <c r="E74" s="90"/>
      <c r="F74" s="90"/>
      <c r="G74" s="90"/>
      <c r="H74" s="90"/>
      <c r="I74" s="90"/>
      <c r="J74" s="90"/>
      <c r="K74" s="90"/>
      <c r="L74" s="90"/>
      <c r="M74" s="90"/>
      <c r="N74" s="90"/>
      <c r="O74" s="90"/>
      <c r="P74" s="90"/>
      <c r="Q74" s="90"/>
      <c r="R74" s="90"/>
      <c r="S74" s="90"/>
      <c r="T74" s="79"/>
      <c r="U74" s="90"/>
      <c r="V74" s="90"/>
      <c r="W74" s="90"/>
      <c r="X74" s="90"/>
      <c r="Y74" s="90"/>
    </row>
    <row r="75" spans="1:25">
      <c r="A75" s="41">
        <v>26</v>
      </c>
      <c r="B75" s="90"/>
      <c r="C75" s="90"/>
      <c r="D75" s="90"/>
      <c r="E75" s="90"/>
      <c r="F75" s="90"/>
      <c r="G75" s="90"/>
      <c r="H75" s="90"/>
      <c r="I75" s="90"/>
      <c r="J75" s="90"/>
      <c r="K75" s="90"/>
      <c r="L75" s="90"/>
      <c r="M75" s="90"/>
      <c r="N75" s="90"/>
      <c r="O75" s="90"/>
      <c r="P75" s="90"/>
      <c r="Q75" s="90"/>
      <c r="R75" s="90"/>
      <c r="S75" s="90"/>
      <c r="T75" s="79"/>
      <c r="U75" s="90"/>
      <c r="V75" s="90"/>
      <c r="W75" s="90"/>
      <c r="X75" s="90"/>
      <c r="Y75" s="90"/>
    </row>
    <row r="76" spans="1:25">
      <c r="A76" s="41">
        <v>27</v>
      </c>
      <c r="B76" s="90"/>
      <c r="C76" s="90"/>
      <c r="D76" s="90"/>
      <c r="E76" s="90"/>
      <c r="F76" s="90"/>
      <c r="G76" s="90"/>
      <c r="H76" s="90"/>
      <c r="I76" s="90"/>
      <c r="J76" s="90"/>
      <c r="K76" s="90"/>
      <c r="L76" s="90"/>
      <c r="M76" s="90"/>
      <c r="N76" s="90"/>
      <c r="O76" s="90"/>
      <c r="P76" s="90"/>
      <c r="Q76" s="90"/>
      <c r="R76" s="90"/>
      <c r="S76" s="90"/>
      <c r="T76" s="79"/>
      <c r="U76" s="90"/>
      <c r="V76" s="90"/>
      <c r="W76" s="90"/>
      <c r="X76" s="90"/>
      <c r="Y76" s="90"/>
    </row>
    <row r="77" spans="1:25">
      <c r="A77" s="41">
        <v>28</v>
      </c>
      <c r="B77" s="90"/>
      <c r="C77" s="90"/>
      <c r="D77" s="90"/>
      <c r="E77" s="90"/>
      <c r="F77" s="90"/>
      <c r="G77" s="90"/>
      <c r="H77" s="90"/>
      <c r="I77" s="90"/>
      <c r="J77" s="90"/>
      <c r="K77" s="90"/>
      <c r="L77" s="90"/>
      <c r="M77" s="90"/>
      <c r="N77" s="90"/>
      <c r="O77" s="90"/>
      <c r="P77" s="90"/>
      <c r="Q77" s="90"/>
      <c r="R77" s="90"/>
      <c r="S77" s="90"/>
      <c r="T77" s="79"/>
      <c r="U77" s="90"/>
      <c r="V77" s="90"/>
      <c r="W77" s="90"/>
      <c r="X77" s="90"/>
      <c r="Y77" s="90"/>
    </row>
    <row r="78" spans="1:25">
      <c r="A78" s="41">
        <v>29</v>
      </c>
      <c r="B78" s="90"/>
      <c r="C78" s="90"/>
      <c r="D78" s="90"/>
      <c r="E78" s="90"/>
      <c r="F78" s="90"/>
      <c r="G78" s="90"/>
      <c r="H78" s="90"/>
      <c r="I78" s="90"/>
      <c r="J78" s="90"/>
      <c r="K78" s="90"/>
      <c r="L78" s="90"/>
      <c r="M78" s="90"/>
      <c r="N78" s="90"/>
      <c r="O78" s="90"/>
      <c r="P78" s="90"/>
      <c r="Q78" s="90"/>
      <c r="R78" s="90"/>
      <c r="S78" s="90"/>
      <c r="T78" s="79"/>
      <c r="U78" s="90"/>
      <c r="V78" s="90"/>
      <c r="W78" s="90"/>
      <c r="X78" s="90"/>
      <c r="Y78" s="90"/>
    </row>
    <row r="79" spans="1:25">
      <c r="A79" s="41">
        <v>30</v>
      </c>
      <c r="B79" s="90"/>
      <c r="C79" s="90"/>
      <c r="D79" s="90"/>
      <c r="E79" s="90"/>
      <c r="F79" s="90"/>
      <c r="G79" s="90"/>
      <c r="H79" s="90"/>
      <c r="I79" s="90"/>
      <c r="J79" s="90"/>
      <c r="K79" s="90"/>
      <c r="L79" s="90"/>
      <c r="M79" s="90"/>
      <c r="N79" s="90"/>
      <c r="O79" s="90"/>
      <c r="P79" s="90"/>
      <c r="Q79" s="90"/>
      <c r="R79" s="90"/>
      <c r="S79" s="90"/>
      <c r="T79" s="79"/>
      <c r="U79" s="90"/>
      <c r="V79" s="90"/>
      <c r="W79" s="90"/>
      <c r="X79" s="90"/>
      <c r="Y79" s="90"/>
    </row>
    <row r="80" spans="1:25">
      <c r="A80" s="41">
        <v>31</v>
      </c>
      <c r="B80" s="90"/>
      <c r="C80" s="90"/>
      <c r="D80" s="90"/>
      <c r="E80" s="90"/>
      <c r="F80" s="90"/>
      <c r="G80" s="90"/>
      <c r="H80" s="90"/>
      <c r="I80" s="90"/>
      <c r="J80" s="90"/>
      <c r="K80" s="90"/>
      <c r="L80" s="90"/>
      <c r="M80" s="90"/>
      <c r="N80" s="90"/>
      <c r="O80" s="90"/>
      <c r="P80" s="90"/>
      <c r="Q80" s="90"/>
      <c r="R80" s="90"/>
      <c r="S80" s="90"/>
      <c r="T80" s="79"/>
      <c r="U80" s="90"/>
      <c r="V80" s="90"/>
      <c r="W80" s="90"/>
      <c r="X80" s="90"/>
      <c r="Y80" s="90"/>
    </row>
    <row r="81" spans="1:25">
      <c r="A81" s="41">
        <v>32</v>
      </c>
      <c r="B81" s="90"/>
      <c r="C81" s="90"/>
      <c r="D81" s="90"/>
      <c r="E81" s="90"/>
      <c r="F81" s="90"/>
      <c r="G81" s="90"/>
      <c r="H81" s="90"/>
      <c r="I81" s="90"/>
      <c r="J81" s="90"/>
      <c r="K81" s="90"/>
      <c r="L81" s="90"/>
      <c r="M81" s="90"/>
      <c r="N81" s="90"/>
      <c r="O81" s="90"/>
      <c r="P81" s="90"/>
      <c r="Q81" s="90"/>
      <c r="R81" s="90"/>
      <c r="S81" s="90"/>
      <c r="T81" s="79"/>
      <c r="U81" s="90"/>
      <c r="V81" s="90"/>
      <c r="W81" s="90"/>
      <c r="X81" s="90"/>
      <c r="Y81" s="90"/>
    </row>
    <row r="82" spans="1:25">
      <c r="A82" s="41">
        <v>33</v>
      </c>
      <c r="B82" s="90"/>
      <c r="C82" s="90"/>
      <c r="D82" s="90"/>
      <c r="E82" s="90"/>
      <c r="F82" s="90"/>
      <c r="G82" s="90"/>
      <c r="H82" s="90"/>
      <c r="I82" s="90"/>
      <c r="J82" s="90"/>
      <c r="K82" s="90"/>
      <c r="L82" s="90"/>
      <c r="M82" s="90"/>
      <c r="N82" s="90"/>
      <c r="O82" s="90"/>
      <c r="P82" s="90"/>
      <c r="Q82" s="90"/>
      <c r="R82" s="90"/>
      <c r="S82" s="90"/>
      <c r="T82" s="79"/>
      <c r="U82" s="90"/>
      <c r="V82" s="90"/>
      <c r="W82" s="90"/>
      <c r="X82" s="90"/>
      <c r="Y82" s="90"/>
    </row>
    <row r="83" spans="1:25">
      <c r="A83" s="41">
        <v>34</v>
      </c>
      <c r="B83" s="90"/>
      <c r="C83" s="90"/>
      <c r="D83" s="90"/>
      <c r="E83" s="90"/>
      <c r="F83" s="90"/>
      <c r="G83" s="90"/>
      <c r="H83" s="90"/>
      <c r="I83" s="90"/>
      <c r="J83" s="90"/>
      <c r="K83" s="90"/>
      <c r="L83" s="90"/>
      <c r="M83" s="90"/>
      <c r="N83" s="90"/>
      <c r="O83" s="90"/>
      <c r="P83" s="90"/>
      <c r="Q83" s="90"/>
      <c r="R83" s="90"/>
      <c r="S83" s="90"/>
      <c r="T83" s="79"/>
      <c r="U83" s="90"/>
      <c r="V83" s="90"/>
      <c r="W83" s="90"/>
      <c r="X83" s="90"/>
      <c r="Y83" s="90"/>
    </row>
    <row r="84" spans="1:25">
      <c r="A84" s="41">
        <v>35</v>
      </c>
      <c r="B84" s="90"/>
      <c r="C84" s="90"/>
      <c r="D84" s="90"/>
      <c r="E84" s="90"/>
      <c r="F84" s="90"/>
      <c r="G84" s="90"/>
      <c r="H84" s="90"/>
      <c r="I84" s="90"/>
      <c r="J84" s="90"/>
      <c r="K84" s="90"/>
      <c r="L84" s="90"/>
      <c r="M84" s="90"/>
      <c r="N84" s="90"/>
      <c r="O84" s="90"/>
      <c r="P84" s="90"/>
      <c r="Q84" s="90"/>
      <c r="R84" s="90"/>
      <c r="S84" s="90"/>
      <c r="T84" s="79"/>
      <c r="U84" s="90"/>
      <c r="V84" s="90"/>
      <c r="W84" s="90"/>
      <c r="X84" s="90"/>
      <c r="Y84" s="90"/>
    </row>
    <row r="85" spans="1:25">
      <c r="A85" s="41">
        <v>36</v>
      </c>
    </row>
    <row r="86" spans="1:25">
      <c r="A86" s="41">
        <v>37</v>
      </c>
    </row>
    <row r="87" spans="1:25">
      <c r="A87" s="41">
        <v>38</v>
      </c>
    </row>
    <row r="88" spans="1:25">
      <c r="A88" s="41">
        <v>39</v>
      </c>
    </row>
    <row r="89" spans="1:25">
      <c r="A89" s="41">
        <v>40</v>
      </c>
    </row>
  </sheetData>
  <sheetProtection password="C5CB" sheet="1" objects="1" scenarios="1" selectLockedCells="1"/>
  <protectedRanges>
    <protectedRange sqref="E41:F43" name="Range15"/>
    <protectedRange sqref="N41:O43" name="Range14"/>
    <protectedRange sqref="G8:M8 Q8 T33 T30 R7:T8 E7:M7 N7:N8 O7:Q7 C7:D8 T11 T14:T15" name="Range1_1"/>
    <protectedRange sqref="T22:T25" name="Range3_1"/>
    <protectedRange sqref="F30:O30 T27:T29" name="Range5_1"/>
    <protectedRange sqref="K37" name="Range8"/>
    <protectedRange sqref="K38" name="Range9_1"/>
    <protectedRange sqref="E40:I40" name="Range10_1"/>
    <protectedRange sqref="R40:S40" name="Range11_1"/>
    <protectedRange sqref="P30" name="Range5_4"/>
    <protectedRange sqref="Q21:S29" name="Range5_1_1"/>
    <protectedRange sqref="N21:P29" name="Range5_2"/>
    <protectedRange sqref="P33 P15" name="Range1_1_1"/>
    <protectedRange sqref="P8" name="Range1_2"/>
  </protectedRanges>
  <mergeCells count="57">
    <mergeCell ref="B35:F35"/>
    <mergeCell ref="Q36:S36"/>
    <mergeCell ref="C29:J29"/>
    <mergeCell ref="K29:M29"/>
    <mergeCell ref="N29:P29"/>
    <mergeCell ref="Q29:S29"/>
    <mergeCell ref="Q30:S30"/>
    <mergeCell ref="B32:J32"/>
    <mergeCell ref="C28:J28"/>
    <mergeCell ref="K28:M28"/>
    <mergeCell ref="N28:P28"/>
    <mergeCell ref="Q28:S28"/>
    <mergeCell ref="K33:M33"/>
    <mergeCell ref="Q33:S33"/>
    <mergeCell ref="C26:J26"/>
    <mergeCell ref="K26:M26"/>
    <mergeCell ref="N26:P26"/>
    <mergeCell ref="Q26:S26"/>
    <mergeCell ref="C27:J27"/>
    <mergeCell ref="K27:M27"/>
    <mergeCell ref="N27:P27"/>
    <mergeCell ref="Q27:S27"/>
    <mergeCell ref="C24:J24"/>
    <mergeCell ref="K24:M24"/>
    <mergeCell ref="N24:P24"/>
    <mergeCell ref="Q24:S24"/>
    <mergeCell ref="C25:J25"/>
    <mergeCell ref="K25:M25"/>
    <mergeCell ref="N25:P25"/>
    <mergeCell ref="Q25:S25"/>
    <mergeCell ref="C22:J22"/>
    <mergeCell ref="K22:M22"/>
    <mergeCell ref="N22:P22"/>
    <mergeCell ref="Q22:S22"/>
    <mergeCell ref="C23:J23"/>
    <mergeCell ref="K23:M23"/>
    <mergeCell ref="N23:P23"/>
    <mergeCell ref="Q23:S23"/>
    <mergeCell ref="C21:J21"/>
    <mergeCell ref="K21:M21"/>
    <mergeCell ref="N21:P21"/>
    <mergeCell ref="Q21:S21"/>
    <mergeCell ref="B14:K14"/>
    <mergeCell ref="C20:J20"/>
    <mergeCell ref="K20:M20"/>
    <mergeCell ref="N20:P20"/>
    <mergeCell ref="Q20:S20"/>
    <mergeCell ref="Q11:S11"/>
    <mergeCell ref="K15:M15"/>
    <mergeCell ref="Q15:S15"/>
    <mergeCell ref="B17:H17"/>
    <mergeCell ref="Q18:S18"/>
    <mergeCell ref="B4:T4"/>
    <mergeCell ref="B7:N7"/>
    <mergeCell ref="K8:M8"/>
    <mergeCell ref="Q8:S8"/>
    <mergeCell ref="B11:G11"/>
  </mergeCells>
  <dataValidations count="1">
    <dataValidation type="list" allowBlank="1" showErrorMessage="1" sqref="B21:B29">
      <formula1>$A$49:$A$89</formula1>
    </dataValidation>
  </dataValidations>
  <printOptions horizontalCentered="1"/>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9"/>
  <sheetViews>
    <sheetView topLeftCell="A13" zoomScaleNormal="100" workbookViewId="0">
      <selection activeCell="K15" sqref="K15:M15"/>
    </sheetView>
  </sheetViews>
  <sheetFormatPr defaultColWidth="8.85546875" defaultRowHeight="12.75"/>
  <cols>
    <col min="1" max="1" width="2.140625" style="5" customWidth="1"/>
    <col min="2" max="2" width="9.7109375" style="5" customWidth="1"/>
    <col min="3" max="9" width="3.5703125" style="5" customWidth="1"/>
    <col min="10" max="10" width="5" style="5" customWidth="1"/>
    <col min="11" max="19" width="5.42578125" style="5" customWidth="1"/>
    <col min="20" max="20" width="3.42578125" style="2" customWidth="1"/>
    <col min="21" max="16384" width="8.85546875" style="5"/>
  </cols>
  <sheetData>
    <row r="1" spans="1:25" s="47" customFormat="1" ht="16.5" customHeight="1">
      <c r="B1" s="40"/>
      <c r="C1" s="40"/>
      <c r="D1" s="40"/>
      <c r="E1" s="40"/>
      <c r="F1" s="40"/>
      <c r="G1" s="40"/>
      <c r="H1" s="40"/>
      <c r="I1" s="40"/>
      <c r="J1" s="40"/>
      <c r="K1" s="40"/>
      <c r="L1" s="40"/>
      <c r="M1" s="40"/>
      <c r="N1" s="40"/>
      <c r="O1" s="40"/>
      <c r="T1" s="48"/>
      <c r="U1" s="41" t="s">
        <v>359</v>
      </c>
    </row>
    <row r="2" spans="1:25" s="38" customFormat="1" ht="19.5" customHeight="1">
      <c r="A2" s="82" t="s">
        <v>402</v>
      </c>
      <c r="B2" s="41"/>
      <c r="C2" s="41"/>
      <c r="D2" s="41"/>
      <c r="E2" s="41"/>
      <c r="F2" s="41"/>
      <c r="G2" s="41"/>
      <c r="H2" s="41"/>
      <c r="I2" s="41"/>
      <c r="J2" s="41"/>
      <c r="K2" s="41"/>
      <c r="L2" s="41"/>
      <c r="M2" s="41"/>
      <c r="N2" s="41"/>
      <c r="O2" s="41"/>
      <c r="P2" s="41"/>
      <c r="Q2" s="127" t="str">
        <f>'SP11-1'!$L$2</f>
        <v>Spreadsheet v 3 (27-March-14)</v>
      </c>
      <c r="R2" s="41"/>
      <c r="S2" s="41"/>
      <c r="T2" s="41"/>
      <c r="U2" s="139" t="s">
        <v>360</v>
      </c>
      <c r="V2" s="41"/>
      <c r="W2" s="41"/>
      <c r="X2" s="41"/>
      <c r="Y2" s="41"/>
    </row>
    <row r="3" spans="1:25" s="47" customFormat="1" ht="11.25" customHeight="1">
      <c r="A3" s="55" t="s">
        <v>293</v>
      </c>
      <c r="B3" s="4"/>
      <c r="C3" s="4"/>
      <c r="D3" s="4"/>
      <c r="E3" s="4"/>
      <c r="F3" s="4"/>
      <c r="G3" s="4"/>
      <c r="H3" s="4"/>
      <c r="I3" s="4"/>
      <c r="J3" s="4"/>
      <c r="K3" s="4"/>
      <c r="L3" s="4"/>
      <c r="M3" s="4"/>
      <c r="N3" s="4"/>
      <c r="O3" s="4"/>
      <c r="P3" s="41"/>
      <c r="Q3" s="41"/>
      <c r="R3" s="41"/>
      <c r="S3" s="41"/>
      <c r="T3" s="54"/>
      <c r="U3" s="41"/>
      <c r="V3" s="41"/>
      <c r="W3" s="41"/>
      <c r="X3" s="41"/>
      <c r="Y3" s="41"/>
    </row>
    <row r="4" spans="1:25" s="38" customFormat="1" ht="15.75">
      <c r="A4" s="82"/>
      <c r="B4" s="295" t="s">
        <v>375</v>
      </c>
      <c r="C4" s="362"/>
      <c r="D4" s="362"/>
      <c r="E4" s="362"/>
      <c r="F4" s="362"/>
      <c r="G4" s="362"/>
      <c r="H4" s="362"/>
      <c r="I4" s="362"/>
      <c r="J4" s="362"/>
      <c r="K4" s="362"/>
      <c r="L4" s="362"/>
      <c r="M4" s="362"/>
      <c r="N4" s="362"/>
      <c r="O4" s="362"/>
      <c r="P4" s="362"/>
      <c r="Q4" s="362"/>
      <c r="R4" s="362"/>
      <c r="S4" s="362"/>
      <c r="T4" s="362"/>
      <c r="U4" s="41"/>
      <c r="V4" s="41"/>
      <c r="W4" s="41"/>
      <c r="X4" s="41"/>
      <c r="Y4" s="41"/>
    </row>
    <row r="5" spans="1:25" s="47" customFormat="1" ht="11.25" customHeight="1">
      <c r="A5" s="36"/>
      <c r="B5" s="4"/>
      <c r="C5" s="4"/>
      <c r="D5" s="4"/>
      <c r="E5" s="4"/>
      <c r="F5" s="4"/>
      <c r="G5" s="4"/>
      <c r="H5" s="4"/>
      <c r="I5" s="4"/>
      <c r="J5" s="4"/>
      <c r="K5" s="4"/>
      <c r="L5" s="4"/>
      <c r="M5" s="4"/>
      <c r="N5" s="4"/>
      <c r="O5" s="4"/>
      <c r="P5" s="41"/>
      <c r="Q5" s="41"/>
      <c r="R5" s="41"/>
      <c r="S5" s="41"/>
      <c r="T5" s="54"/>
      <c r="U5" s="41"/>
      <c r="V5" s="41"/>
      <c r="W5" s="41"/>
      <c r="X5" s="41"/>
      <c r="Y5" s="41"/>
    </row>
    <row r="6" spans="1:25" s="40" customFormat="1" ht="3.75" customHeight="1">
      <c r="A6" s="56"/>
      <c r="B6" s="57"/>
      <c r="C6" s="57"/>
      <c r="D6" s="57"/>
      <c r="E6" s="57"/>
      <c r="F6" s="57"/>
      <c r="G6" s="57"/>
      <c r="H6" s="57"/>
      <c r="I6" s="57"/>
      <c r="J6" s="57"/>
      <c r="K6" s="57"/>
      <c r="L6" s="57"/>
      <c r="M6" s="57"/>
      <c r="N6" s="57"/>
      <c r="O6" s="57"/>
      <c r="P6" s="57"/>
      <c r="Q6" s="57"/>
      <c r="R6" s="57"/>
      <c r="S6" s="57"/>
      <c r="T6" s="56"/>
      <c r="U6" s="4"/>
      <c r="V6" s="4"/>
      <c r="W6" s="4"/>
      <c r="X6" s="4"/>
      <c r="Y6" s="4"/>
    </row>
    <row r="7" spans="1:25" s="47" customFormat="1" ht="19.5" customHeight="1">
      <c r="A7" s="58">
        <v>1</v>
      </c>
      <c r="B7" s="322" t="s">
        <v>294</v>
      </c>
      <c r="C7" s="322"/>
      <c r="D7" s="322"/>
      <c r="E7" s="322"/>
      <c r="F7" s="322"/>
      <c r="G7" s="322"/>
      <c r="H7" s="322"/>
      <c r="I7" s="322"/>
      <c r="J7" s="322"/>
      <c r="K7" s="322"/>
      <c r="L7" s="322"/>
      <c r="M7" s="322"/>
      <c r="N7" s="322"/>
      <c r="O7" s="57"/>
      <c r="P7" s="57"/>
      <c r="Q7" s="57"/>
      <c r="R7" s="57"/>
      <c r="S7" s="57"/>
      <c r="T7" s="56"/>
      <c r="U7" s="41"/>
      <c r="V7" s="41"/>
      <c r="W7" s="41"/>
      <c r="X7" s="41"/>
      <c r="Y7" s="41"/>
    </row>
    <row r="8" spans="1:25" s="47" customFormat="1" ht="19.5" customHeight="1" thickBot="1">
      <c r="A8" s="56"/>
      <c r="B8" s="57"/>
      <c r="C8" s="57"/>
      <c r="D8" s="57"/>
      <c r="E8" s="57"/>
      <c r="F8" s="57"/>
      <c r="G8" s="72"/>
      <c r="H8" s="72"/>
      <c r="I8" s="72"/>
      <c r="J8" s="72" t="s">
        <v>16</v>
      </c>
      <c r="K8" s="352"/>
      <c r="L8" s="352"/>
      <c r="M8" s="352"/>
      <c r="N8" s="57" t="s">
        <v>413</v>
      </c>
      <c r="O8" s="57">
        <v>0.94</v>
      </c>
      <c r="P8" s="72" t="s">
        <v>439</v>
      </c>
      <c r="Q8" s="364">
        <f>K8*O8</f>
        <v>0</v>
      </c>
      <c r="R8" s="364"/>
      <c r="S8" s="364"/>
      <c r="T8" s="58" t="s">
        <v>28</v>
      </c>
      <c r="U8" s="41"/>
      <c r="V8" s="41"/>
      <c r="W8" s="41"/>
      <c r="X8" s="41"/>
      <c r="Y8" s="41"/>
    </row>
    <row r="9" spans="1:25" s="49" customFormat="1" ht="4.5" customHeight="1" thickTop="1">
      <c r="A9" s="68"/>
      <c r="B9" s="69"/>
      <c r="C9" s="69"/>
      <c r="D9" s="69"/>
      <c r="E9" s="69"/>
      <c r="F9" s="69"/>
      <c r="G9" s="83"/>
      <c r="H9" s="83"/>
      <c r="I9" s="83"/>
      <c r="J9" s="83"/>
      <c r="K9" s="83"/>
      <c r="L9" s="83"/>
      <c r="M9" s="83"/>
      <c r="N9" s="83"/>
      <c r="O9" s="83"/>
      <c r="P9" s="83"/>
      <c r="Q9" s="83"/>
      <c r="R9" s="83"/>
      <c r="S9" s="83"/>
      <c r="T9" s="68"/>
      <c r="U9" s="84"/>
      <c r="V9" s="84"/>
      <c r="W9" s="84"/>
      <c r="X9" s="84"/>
      <c r="Y9" s="84"/>
    </row>
    <row r="10" spans="1:25" s="50" customFormat="1" ht="4.5" customHeight="1" thickBot="1">
      <c r="A10" s="92"/>
      <c r="B10" s="91"/>
      <c r="C10" s="91"/>
      <c r="D10" s="91"/>
      <c r="E10" s="91"/>
      <c r="F10" s="91"/>
      <c r="G10" s="93"/>
      <c r="H10" s="93"/>
      <c r="I10" s="93"/>
      <c r="J10" s="93"/>
      <c r="K10" s="93"/>
      <c r="L10" s="93"/>
      <c r="M10" s="93"/>
      <c r="N10" s="93"/>
      <c r="O10" s="93"/>
      <c r="P10" s="93"/>
      <c r="Q10" s="93"/>
      <c r="R10" s="93"/>
      <c r="S10" s="93"/>
      <c r="T10" s="92"/>
      <c r="U10" s="94"/>
      <c r="V10" s="94"/>
      <c r="W10" s="94"/>
      <c r="X10" s="94"/>
      <c r="Y10" s="94"/>
    </row>
    <row r="11" spans="1:25" s="47" customFormat="1" ht="19.5" customHeight="1" thickTop="1" thickBot="1">
      <c r="A11" s="58">
        <v>2</v>
      </c>
      <c r="B11" s="322" t="s">
        <v>295</v>
      </c>
      <c r="C11" s="322"/>
      <c r="D11" s="322"/>
      <c r="E11" s="322"/>
      <c r="F11" s="322"/>
      <c r="G11" s="322"/>
      <c r="H11" s="57"/>
      <c r="I11" s="57"/>
      <c r="J11" s="57"/>
      <c r="K11" s="57"/>
      <c r="L11" s="57"/>
      <c r="M11" s="57"/>
      <c r="N11" s="57"/>
      <c r="O11" s="57"/>
      <c r="P11" s="72" t="s">
        <v>16</v>
      </c>
      <c r="Q11" s="315"/>
      <c r="R11" s="315"/>
      <c r="S11" s="315"/>
      <c r="T11" s="58" t="s">
        <v>29</v>
      </c>
      <c r="U11" s="41"/>
      <c r="V11" s="41"/>
      <c r="W11" s="41"/>
      <c r="X11" s="41"/>
      <c r="Y11" s="41"/>
    </row>
    <row r="12" spans="1:25" s="49" customFormat="1" ht="4.5" customHeight="1" thickTop="1">
      <c r="A12" s="68"/>
      <c r="B12" s="69"/>
      <c r="C12" s="69"/>
      <c r="D12" s="69"/>
      <c r="E12" s="69"/>
      <c r="F12" s="69"/>
      <c r="G12" s="83"/>
      <c r="H12" s="83"/>
      <c r="I12" s="83"/>
      <c r="J12" s="83"/>
      <c r="K12" s="83"/>
      <c r="L12" s="83"/>
      <c r="M12" s="83"/>
      <c r="N12" s="83"/>
      <c r="O12" s="83"/>
      <c r="P12" s="83"/>
      <c r="Q12" s="83"/>
      <c r="R12" s="83"/>
      <c r="S12" s="83"/>
      <c r="T12" s="68"/>
      <c r="U12" s="84"/>
      <c r="V12" s="84"/>
      <c r="W12" s="84"/>
      <c r="X12" s="84"/>
      <c r="Y12" s="84"/>
    </row>
    <row r="13" spans="1:25" s="50" customFormat="1" ht="4.5" customHeight="1">
      <c r="A13" s="92"/>
      <c r="B13" s="91"/>
      <c r="C13" s="91"/>
      <c r="D13" s="91"/>
      <c r="E13" s="91"/>
      <c r="F13" s="91"/>
      <c r="G13" s="93"/>
      <c r="H13" s="93"/>
      <c r="I13" s="93"/>
      <c r="J13" s="93"/>
      <c r="K13" s="93"/>
      <c r="L13" s="93"/>
      <c r="M13" s="93"/>
      <c r="N13" s="93"/>
      <c r="O13" s="93"/>
      <c r="P13" s="93"/>
      <c r="Q13" s="93"/>
      <c r="R13" s="93"/>
      <c r="S13" s="93"/>
      <c r="T13" s="92"/>
      <c r="U13" s="94"/>
      <c r="V13" s="94"/>
      <c r="W13" s="94"/>
      <c r="X13" s="94"/>
      <c r="Y13" s="94"/>
    </row>
    <row r="14" spans="1:25" s="47" customFormat="1" ht="19.5" customHeight="1" thickBot="1">
      <c r="A14" s="58">
        <v>3</v>
      </c>
      <c r="B14" s="322" t="s">
        <v>363</v>
      </c>
      <c r="C14" s="322"/>
      <c r="D14" s="322"/>
      <c r="E14" s="322"/>
      <c r="F14" s="322"/>
      <c r="G14" s="322"/>
      <c r="H14" s="322"/>
      <c r="I14" s="322"/>
      <c r="J14" s="322"/>
      <c r="K14" s="322"/>
      <c r="L14" s="57"/>
      <c r="M14" s="57"/>
      <c r="N14" s="57"/>
      <c r="O14" s="57"/>
      <c r="P14" s="57"/>
      <c r="Q14" s="57"/>
      <c r="R14" s="57"/>
      <c r="S14" s="57"/>
      <c r="T14" s="58"/>
      <c r="U14" s="41"/>
      <c r="V14" s="41"/>
      <c r="W14" s="41"/>
      <c r="X14" s="41"/>
      <c r="Y14" s="41"/>
    </row>
    <row r="15" spans="1:25" s="47" customFormat="1" ht="19.5" customHeight="1" thickTop="1">
      <c r="A15" s="56"/>
      <c r="B15" s="57"/>
      <c r="C15" s="57"/>
      <c r="D15" s="57"/>
      <c r="E15" s="57"/>
      <c r="F15" s="57"/>
      <c r="G15" s="72"/>
      <c r="H15" s="72"/>
      <c r="I15" s="72"/>
      <c r="J15" s="72" t="s">
        <v>438</v>
      </c>
      <c r="K15" s="352"/>
      <c r="L15" s="352"/>
      <c r="M15" s="352"/>
      <c r="N15" s="57" t="s">
        <v>413</v>
      </c>
      <c r="O15" s="78">
        <v>14.52</v>
      </c>
      <c r="P15" s="72" t="s">
        <v>439</v>
      </c>
      <c r="Q15" s="365">
        <f>K15*O15</f>
        <v>0</v>
      </c>
      <c r="R15" s="365"/>
      <c r="S15" s="365"/>
      <c r="T15" s="58" t="s">
        <v>31</v>
      </c>
      <c r="U15" s="41"/>
      <c r="V15" s="41"/>
      <c r="W15" s="41"/>
      <c r="X15" s="41"/>
      <c r="Y15" s="41"/>
    </row>
    <row r="16" spans="1:25" s="49" customFormat="1" ht="3.75" customHeight="1">
      <c r="A16" s="68"/>
      <c r="B16" s="69"/>
      <c r="C16" s="69"/>
      <c r="D16" s="69"/>
      <c r="E16" s="69"/>
      <c r="F16" s="69"/>
      <c r="G16" s="83"/>
      <c r="H16" s="83"/>
      <c r="I16" s="83"/>
      <c r="J16" s="83"/>
      <c r="K16" s="83"/>
      <c r="L16" s="83"/>
      <c r="M16" s="83"/>
      <c r="N16" s="83"/>
      <c r="O16" s="83"/>
      <c r="P16" s="83"/>
      <c r="Q16" s="83"/>
      <c r="R16" s="83"/>
      <c r="S16" s="83"/>
      <c r="T16" s="68"/>
      <c r="U16" s="84"/>
      <c r="V16" s="84"/>
      <c r="W16" s="84"/>
      <c r="X16" s="84"/>
      <c r="Y16" s="84"/>
    </row>
    <row r="17" spans="1:25" s="47" customFormat="1" ht="19.5" customHeight="1">
      <c r="A17" s="58">
        <v>4</v>
      </c>
      <c r="B17" s="317" t="s">
        <v>22</v>
      </c>
      <c r="C17" s="317"/>
      <c r="D17" s="317"/>
      <c r="E17" s="317"/>
      <c r="F17" s="317"/>
      <c r="G17" s="317"/>
      <c r="H17" s="317"/>
      <c r="I17" s="57"/>
      <c r="J17" s="57"/>
      <c r="K17" s="57"/>
      <c r="L17" s="57"/>
      <c r="M17" s="57"/>
      <c r="N17" s="57"/>
      <c r="O17" s="57"/>
      <c r="P17" s="57"/>
      <c r="Q17" s="57"/>
      <c r="R17" s="57"/>
      <c r="S17" s="57"/>
      <c r="T17" s="56"/>
      <c r="U17" s="41"/>
      <c r="V17" s="41"/>
      <c r="W17" s="41"/>
      <c r="X17" s="41"/>
      <c r="Y17" s="41"/>
    </row>
    <row r="18" spans="1:25" s="47" customFormat="1" ht="19.5" customHeight="1">
      <c r="A18" s="56"/>
      <c r="B18" s="60" t="s">
        <v>38</v>
      </c>
      <c r="C18" s="57"/>
      <c r="D18" s="57"/>
      <c r="E18" s="57"/>
      <c r="F18" s="57"/>
      <c r="G18" s="57"/>
      <c r="H18" s="57"/>
      <c r="I18" s="57"/>
      <c r="J18" s="57"/>
      <c r="K18" s="57"/>
      <c r="L18" s="57"/>
      <c r="M18" s="57"/>
      <c r="N18" s="57"/>
      <c r="O18" s="57"/>
      <c r="P18" s="77" t="s">
        <v>361</v>
      </c>
      <c r="Q18" s="363">
        <f>'SP11-1'!I25</f>
        <v>2015</v>
      </c>
      <c r="R18" s="363"/>
      <c r="S18" s="363"/>
      <c r="T18" s="56"/>
      <c r="U18" s="41"/>
      <c r="V18" s="41"/>
      <c r="W18" s="41"/>
      <c r="X18" s="41"/>
      <c r="Y18" s="41"/>
    </row>
    <row r="19" spans="1:25" s="47" customFormat="1" ht="19.5" customHeight="1">
      <c r="A19" s="56"/>
      <c r="B19" s="57" t="s">
        <v>210</v>
      </c>
      <c r="C19" s="57"/>
      <c r="D19" s="57"/>
      <c r="E19" s="57"/>
      <c r="F19" s="57"/>
      <c r="G19" s="57"/>
      <c r="H19" s="57"/>
      <c r="I19" s="57"/>
      <c r="J19" s="57"/>
      <c r="K19" s="57"/>
      <c r="L19" s="57"/>
      <c r="M19" s="57"/>
      <c r="N19" s="57"/>
      <c r="O19" s="57"/>
      <c r="P19" s="57"/>
      <c r="Q19" s="57"/>
      <c r="R19" s="57"/>
      <c r="S19" s="57"/>
      <c r="T19" s="56"/>
      <c r="U19" s="41"/>
      <c r="V19" s="41"/>
      <c r="W19" s="41"/>
      <c r="X19" s="41"/>
      <c r="Y19" s="41"/>
    </row>
    <row r="20" spans="1:25" s="47" customFormat="1" ht="19.5" customHeight="1">
      <c r="A20" s="56"/>
      <c r="B20" s="85" t="s">
        <v>23</v>
      </c>
      <c r="C20" s="348" t="s">
        <v>24</v>
      </c>
      <c r="D20" s="348"/>
      <c r="E20" s="348"/>
      <c r="F20" s="348"/>
      <c r="G20" s="348"/>
      <c r="H20" s="348"/>
      <c r="I20" s="348"/>
      <c r="J20" s="348"/>
      <c r="K20" s="348" t="s">
        <v>25</v>
      </c>
      <c r="L20" s="348"/>
      <c r="M20" s="348"/>
      <c r="N20" s="348" t="s">
        <v>26</v>
      </c>
      <c r="O20" s="348"/>
      <c r="P20" s="348"/>
      <c r="Q20" s="348" t="s">
        <v>296</v>
      </c>
      <c r="R20" s="348"/>
      <c r="S20" s="349"/>
      <c r="T20" s="56"/>
      <c r="U20" s="41"/>
      <c r="V20" s="41"/>
      <c r="W20" s="41"/>
      <c r="X20" s="41"/>
      <c r="Y20" s="41"/>
    </row>
    <row r="21" spans="1:25" s="47" customFormat="1" ht="19.5" customHeight="1">
      <c r="A21" s="56"/>
      <c r="B21" s="95"/>
      <c r="C21" s="354"/>
      <c r="D21" s="354"/>
      <c r="E21" s="354"/>
      <c r="F21" s="354"/>
      <c r="G21" s="354"/>
      <c r="H21" s="354"/>
      <c r="I21" s="354"/>
      <c r="J21" s="354"/>
      <c r="K21" s="355"/>
      <c r="L21" s="355"/>
      <c r="M21" s="355"/>
      <c r="N21" s="329" t="str">
        <f>Tables!H304</f>
        <v/>
      </c>
      <c r="O21" s="329"/>
      <c r="P21" s="329"/>
      <c r="Q21" s="333" t="str">
        <f>IF(N21="","",K21*N21)</f>
        <v/>
      </c>
      <c r="R21" s="334"/>
      <c r="S21" s="335"/>
      <c r="T21" s="56"/>
      <c r="U21" s="41"/>
      <c r="V21" s="41"/>
      <c r="W21" s="41"/>
      <c r="X21" s="41"/>
      <c r="Y21" s="41"/>
    </row>
    <row r="22" spans="1:25" s="47" customFormat="1" ht="19.5" customHeight="1">
      <c r="A22" s="56"/>
      <c r="B22" s="96"/>
      <c r="C22" s="353"/>
      <c r="D22" s="353"/>
      <c r="E22" s="353"/>
      <c r="F22" s="353"/>
      <c r="G22" s="353"/>
      <c r="H22" s="353"/>
      <c r="I22" s="353"/>
      <c r="J22" s="353"/>
      <c r="K22" s="356"/>
      <c r="L22" s="356"/>
      <c r="M22" s="356"/>
      <c r="N22" s="329" t="str">
        <f>Tables!H305</f>
        <v/>
      </c>
      <c r="O22" s="329"/>
      <c r="P22" s="329"/>
      <c r="Q22" s="330" t="str">
        <f t="shared" ref="Q22:Q29" si="0">IF(N22="","",K22*N22)</f>
        <v/>
      </c>
      <c r="R22" s="331"/>
      <c r="S22" s="332"/>
      <c r="T22" s="56"/>
      <c r="U22" s="41"/>
      <c r="V22" s="41"/>
      <c r="W22" s="41"/>
      <c r="X22" s="41"/>
      <c r="Y22" s="41"/>
    </row>
    <row r="23" spans="1:25" s="47" customFormat="1" ht="19.5" customHeight="1">
      <c r="A23" s="56"/>
      <c r="B23" s="96"/>
      <c r="C23" s="353"/>
      <c r="D23" s="353"/>
      <c r="E23" s="353"/>
      <c r="F23" s="353"/>
      <c r="G23" s="353"/>
      <c r="H23" s="353"/>
      <c r="I23" s="353"/>
      <c r="J23" s="353"/>
      <c r="K23" s="356"/>
      <c r="L23" s="356"/>
      <c r="M23" s="356"/>
      <c r="N23" s="329" t="str">
        <f>Tables!H306</f>
        <v/>
      </c>
      <c r="O23" s="329"/>
      <c r="P23" s="329"/>
      <c r="Q23" s="330" t="str">
        <f t="shared" si="0"/>
        <v/>
      </c>
      <c r="R23" s="331"/>
      <c r="S23" s="332"/>
      <c r="T23" s="56"/>
      <c r="U23" s="41"/>
      <c r="V23" s="41"/>
      <c r="W23" s="41"/>
      <c r="X23" s="41"/>
      <c r="Y23" s="41"/>
    </row>
    <row r="24" spans="1:25" s="47" customFormat="1" ht="19.5" customHeight="1">
      <c r="A24" s="56"/>
      <c r="B24" s="96"/>
      <c r="C24" s="353"/>
      <c r="D24" s="353"/>
      <c r="E24" s="353"/>
      <c r="F24" s="353"/>
      <c r="G24" s="353"/>
      <c r="H24" s="353"/>
      <c r="I24" s="353"/>
      <c r="J24" s="353"/>
      <c r="K24" s="356"/>
      <c r="L24" s="356"/>
      <c r="M24" s="356"/>
      <c r="N24" s="329" t="str">
        <f>Tables!H307</f>
        <v/>
      </c>
      <c r="O24" s="329"/>
      <c r="P24" s="329"/>
      <c r="Q24" s="330" t="str">
        <f>IF(N24="","",K24*N24)</f>
        <v/>
      </c>
      <c r="R24" s="331"/>
      <c r="S24" s="332"/>
      <c r="T24" s="56"/>
      <c r="U24" s="41"/>
      <c r="V24" s="41"/>
      <c r="W24" s="41"/>
      <c r="X24" s="41"/>
      <c r="Y24" s="41"/>
    </row>
    <row r="25" spans="1:25" s="47" customFormat="1" ht="19.5" customHeight="1">
      <c r="A25" s="56"/>
      <c r="B25" s="96"/>
      <c r="C25" s="353"/>
      <c r="D25" s="353"/>
      <c r="E25" s="353"/>
      <c r="F25" s="353"/>
      <c r="G25" s="353"/>
      <c r="H25" s="353"/>
      <c r="I25" s="353"/>
      <c r="J25" s="353"/>
      <c r="K25" s="356"/>
      <c r="L25" s="356"/>
      <c r="M25" s="356"/>
      <c r="N25" s="329" t="str">
        <f>Tables!H308</f>
        <v/>
      </c>
      <c r="O25" s="329"/>
      <c r="P25" s="329"/>
      <c r="Q25" s="330" t="str">
        <f>IF(N25="","",K25*N25)</f>
        <v/>
      </c>
      <c r="R25" s="331"/>
      <c r="S25" s="332"/>
      <c r="T25" s="56"/>
      <c r="U25" s="41"/>
      <c r="V25" s="41"/>
      <c r="W25" s="41"/>
      <c r="X25" s="41"/>
      <c r="Y25" s="41"/>
    </row>
    <row r="26" spans="1:25" s="47" customFormat="1" ht="19.5" customHeight="1">
      <c r="A26" s="56"/>
      <c r="B26" s="96"/>
      <c r="C26" s="353"/>
      <c r="D26" s="353"/>
      <c r="E26" s="353"/>
      <c r="F26" s="353"/>
      <c r="G26" s="353"/>
      <c r="H26" s="353"/>
      <c r="I26" s="353"/>
      <c r="J26" s="353"/>
      <c r="K26" s="356"/>
      <c r="L26" s="356"/>
      <c r="M26" s="356"/>
      <c r="N26" s="329" t="str">
        <f>Tables!H309</f>
        <v/>
      </c>
      <c r="O26" s="329"/>
      <c r="P26" s="329"/>
      <c r="Q26" s="330" t="str">
        <f t="shared" si="0"/>
        <v/>
      </c>
      <c r="R26" s="331"/>
      <c r="S26" s="332"/>
      <c r="T26" s="56"/>
      <c r="U26" s="41"/>
      <c r="V26" s="41"/>
      <c r="W26" s="41"/>
      <c r="X26" s="41"/>
      <c r="Y26" s="41"/>
    </row>
    <row r="27" spans="1:25" s="47" customFormat="1" ht="19.5" customHeight="1">
      <c r="A27" s="56"/>
      <c r="B27" s="96"/>
      <c r="C27" s="353"/>
      <c r="D27" s="353"/>
      <c r="E27" s="353"/>
      <c r="F27" s="353"/>
      <c r="G27" s="353"/>
      <c r="H27" s="353"/>
      <c r="I27" s="353"/>
      <c r="J27" s="353"/>
      <c r="K27" s="356"/>
      <c r="L27" s="356"/>
      <c r="M27" s="356"/>
      <c r="N27" s="329" t="str">
        <f>Tables!H310</f>
        <v/>
      </c>
      <c r="O27" s="329"/>
      <c r="P27" s="329"/>
      <c r="Q27" s="330" t="str">
        <f t="shared" si="0"/>
        <v/>
      </c>
      <c r="R27" s="331"/>
      <c r="S27" s="332"/>
      <c r="T27" s="56"/>
      <c r="U27" s="41"/>
      <c r="V27" s="41"/>
      <c r="W27" s="41"/>
      <c r="X27" s="41"/>
      <c r="Y27" s="41"/>
    </row>
    <row r="28" spans="1:25" s="47" customFormat="1" ht="19.5" customHeight="1">
      <c r="A28" s="56"/>
      <c r="B28" s="96"/>
      <c r="C28" s="353"/>
      <c r="D28" s="353"/>
      <c r="E28" s="353"/>
      <c r="F28" s="353"/>
      <c r="G28" s="353"/>
      <c r="H28" s="353"/>
      <c r="I28" s="353"/>
      <c r="J28" s="353"/>
      <c r="K28" s="356"/>
      <c r="L28" s="356"/>
      <c r="M28" s="356"/>
      <c r="N28" s="329" t="str">
        <f>Tables!H311</f>
        <v/>
      </c>
      <c r="O28" s="329"/>
      <c r="P28" s="329"/>
      <c r="Q28" s="330" t="str">
        <f t="shared" si="0"/>
        <v/>
      </c>
      <c r="R28" s="331"/>
      <c r="S28" s="332"/>
      <c r="T28" s="56"/>
      <c r="U28" s="41"/>
      <c r="V28" s="41"/>
      <c r="W28" s="41"/>
      <c r="X28" s="41"/>
      <c r="Y28" s="41"/>
    </row>
    <row r="29" spans="1:25" s="47" customFormat="1" ht="19.5" customHeight="1">
      <c r="A29" s="56"/>
      <c r="B29" s="97"/>
      <c r="C29" s="360"/>
      <c r="D29" s="360"/>
      <c r="E29" s="360"/>
      <c r="F29" s="360"/>
      <c r="G29" s="360"/>
      <c r="H29" s="360"/>
      <c r="I29" s="360"/>
      <c r="J29" s="360"/>
      <c r="K29" s="361"/>
      <c r="L29" s="361"/>
      <c r="M29" s="361"/>
      <c r="N29" s="329" t="str">
        <f>Tables!H312</f>
        <v/>
      </c>
      <c r="O29" s="329"/>
      <c r="P29" s="329"/>
      <c r="Q29" s="330" t="str">
        <f t="shared" si="0"/>
        <v/>
      </c>
      <c r="R29" s="331"/>
      <c r="S29" s="332"/>
      <c r="T29" s="56"/>
      <c r="U29" s="41"/>
      <c r="V29" s="41"/>
      <c r="W29" s="41"/>
      <c r="X29" s="41"/>
      <c r="Y29" s="41"/>
    </row>
    <row r="30" spans="1:25" s="47" customFormat="1" ht="19.5" customHeight="1">
      <c r="A30" s="56"/>
      <c r="B30" s="57"/>
      <c r="C30" s="57"/>
      <c r="D30" s="57"/>
      <c r="E30" s="57"/>
      <c r="F30" s="57"/>
      <c r="G30" s="57"/>
      <c r="H30" s="57"/>
      <c r="I30" s="57"/>
      <c r="J30" s="57"/>
      <c r="K30" s="57"/>
      <c r="L30" s="57"/>
      <c r="M30" s="57"/>
      <c r="N30" s="57"/>
      <c r="O30" s="57"/>
      <c r="P30" s="72" t="s">
        <v>297</v>
      </c>
      <c r="Q30" s="357">
        <f>SUM(Q21:S29)</f>
        <v>0</v>
      </c>
      <c r="R30" s="358"/>
      <c r="S30" s="359"/>
      <c r="T30" s="58" t="s">
        <v>211</v>
      </c>
      <c r="U30" s="41"/>
      <c r="V30" s="41"/>
      <c r="W30" s="41"/>
      <c r="X30" s="41"/>
      <c r="Y30" s="41"/>
    </row>
    <row r="31" spans="1:25" s="49" customFormat="1" ht="3.75" customHeight="1">
      <c r="A31" s="68"/>
      <c r="B31" s="69"/>
      <c r="C31" s="69"/>
      <c r="D31" s="69"/>
      <c r="E31" s="69"/>
      <c r="F31" s="69"/>
      <c r="G31" s="69"/>
      <c r="H31" s="69"/>
      <c r="I31" s="69"/>
      <c r="J31" s="69"/>
      <c r="K31" s="69"/>
      <c r="L31" s="69"/>
      <c r="M31" s="69"/>
      <c r="N31" s="69"/>
      <c r="O31" s="69"/>
      <c r="P31" s="69"/>
      <c r="Q31" s="98"/>
      <c r="R31" s="98"/>
      <c r="S31" s="98"/>
      <c r="T31" s="68"/>
      <c r="U31" s="84"/>
      <c r="V31" s="84"/>
      <c r="W31" s="84"/>
      <c r="X31" s="84"/>
      <c r="Y31" s="84"/>
    </row>
    <row r="32" spans="1:25" s="47" customFormat="1" ht="19.5" customHeight="1">
      <c r="A32" s="58">
        <v>5</v>
      </c>
      <c r="B32" s="317" t="s">
        <v>212</v>
      </c>
      <c r="C32" s="317"/>
      <c r="D32" s="317"/>
      <c r="E32" s="317"/>
      <c r="F32" s="317"/>
      <c r="G32" s="317"/>
      <c r="H32" s="317"/>
      <c r="I32" s="317"/>
      <c r="J32" s="317"/>
      <c r="K32" s="99"/>
      <c r="L32" s="57"/>
      <c r="M32" s="57"/>
      <c r="N32" s="57"/>
      <c r="O32" s="57"/>
      <c r="P32" s="57"/>
      <c r="Q32" s="57"/>
      <c r="R32" s="57"/>
      <c r="S32" s="57"/>
      <c r="T32" s="56"/>
      <c r="U32" s="41"/>
      <c r="V32" s="41"/>
      <c r="W32" s="41"/>
      <c r="X32" s="41"/>
      <c r="Y32" s="41"/>
    </row>
    <row r="33" spans="1:25" s="47" customFormat="1" ht="19.5" customHeight="1">
      <c r="A33" s="56"/>
      <c r="B33" s="57"/>
      <c r="C33" s="57"/>
      <c r="D33" s="57"/>
      <c r="E33" s="57"/>
      <c r="F33" s="57"/>
      <c r="G33" s="72"/>
      <c r="H33" s="72"/>
      <c r="I33" s="72"/>
      <c r="J33" s="72" t="s">
        <v>16</v>
      </c>
      <c r="K33" s="352"/>
      <c r="L33" s="352"/>
      <c r="M33" s="352"/>
      <c r="N33" s="57" t="s">
        <v>413</v>
      </c>
      <c r="O33" s="78">
        <v>14.52</v>
      </c>
      <c r="P33" s="72" t="s">
        <v>439</v>
      </c>
      <c r="Q33" s="342">
        <f>K33*O33</f>
        <v>0</v>
      </c>
      <c r="R33" s="342"/>
      <c r="S33" s="342"/>
      <c r="T33" s="58" t="s">
        <v>213</v>
      </c>
      <c r="U33" s="41"/>
      <c r="V33" s="41"/>
      <c r="W33" s="41"/>
      <c r="X33" s="41"/>
      <c r="Y33" s="41"/>
    </row>
    <row r="34" spans="1:25" s="49" customFormat="1" ht="3.75" customHeight="1">
      <c r="A34" s="68"/>
      <c r="B34" s="69"/>
      <c r="C34" s="69"/>
      <c r="D34" s="69"/>
      <c r="E34" s="69"/>
      <c r="F34" s="69"/>
      <c r="G34" s="83"/>
      <c r="H34" s="83"/>
      <c r="I34" s="83"/>
      <c r="J34" s="83"/>
      <c r="K34" s="83"/>
      <c r="L34" s="83"/>
      <c r="M34" s="83"/>
      <c r="N34" s="83"/>
      <c r="O34" s="83"/>
      <c r="P34" s="83"/>
      <c r="Q34" s="83"/>
      <c r="R34" s="83"/>
      <c r="S34" s="83"/>
      <c r="T34" s="68"/>
      <c r="U34" s="84"/>
      <c r="V34" s="84"/>
      <c r="W34" s="84"/>
      <c r="X34" s="84"/>
      <c r="Y34" s="84"/>
    </row>
    <row r="35" spans="1:25" s="47" customFormat="1" ht="19.5" customHeight="1">
      <c r="A35" s="58">
        <v>6</v>
      </c>
      <c r="B35" s="317" t="s">
        <v>364</v>
      </c>
      <c r="C35" s="317"/>
      <c r="D35" s="317"/>
      <c r="E35" s="317"/>
      <c r="F35" s="317"/>
      <c r="G35" s="57"/>
      <c r="H35" s="57"/>
      <c r="I35" s="57"/>
      <c r="J35" s="57"/>
      <c r="K35" s="57"/>
      <c r="L35" s="57"/>
      <c r="M35" s="57"/>
      <c r="N35" s="57"/>
      <c r="O35" s="57"/>
      <c r="P35" s="57"/>
      <c r="Q35" s="57"/>
      <c r="R35" s="57"/>
      <c r="S35" s="57"/>
      <c r="T35" s="56"/>
      <c r="U35" s="41"/>
      <c r="V35" s="41"/>
      <c r="W35" s="41"/>
      <c r="X35" s="41"/>
      <c r="Y35" s="41"/>
    </row>
    <row r="36" spans="1:25" s="47" customFormat="1" ht="19.5" customHeight="1">
      <c r="A36" s="56"/>
      <c r="B36" s="57"/>
      <c r="C36" s="57"/>
      <c r="D36" s="57"/>
      <c r="E36" s="57"/>
      <c r="F36" s="57"/>
      <c r="G36" s="57"/>
      <c r="H36" s="57"/>
      <c r="I36" s="57"/>
      <c r="J36" s="57"/>
      <c r="K36" s="99"/>
      <c r="L36" s="57"/>
      <c r="M36" s="57"/>
      <c r="N36" s="57"/>
      <c r="O36" s="57"/>
      <c r="P36" s="72" t="s">
        <v>348</v>
      </c>
      <c r="Q36" s="342">
        <f>Q8+Q11+Q15+Q30+Q33</f>
        <v>0</v>
      </c>
      <c r="R36" s="342"/>
      <c r="S36" s="342"/>
      <c r="T36" s="58" t="s">
        <v>208</v>
      </c>
      <c r="U36" s="41"/>
      <c r="V36" s="41"/>
      <c r="W36" s="41"/>
      <c r="X36" s="41"/>
      <c r="Y36" s="41"/>
    </row>
    <row r="37" spans="1:25" s="47" customFormat="1" ht="19.5" customHeight="1">
      <c r="A37" s="56"/>
      <c r="B37" s="57"/>
      <c r="C37" s="57"/>
      <c r="D37" s="57"/>
      <c r="E37" s="57"/>
      <c r="F37" s="57"/>
      <c r="G37" s="57"/>
      <c r="H37" s="57"/>
      <c r="I37" s="57"/>
      <c r="J37" s="57"/>
      <c r="K37" s="57"/>
      <c r="L37" s="57"/>
      <c r="M37" s="57"/>
      <c r="N37" s="57"/>
      <c r="O37" s="57"/>
      <c r="P37" s="57"/>
      <c r="Q37" s="57"/>
      <c r="R37" s="57"/>
      <c r="S37" s="72" t="s">
        <v>365</v>
      </c>
      <c r="T37" s="59"/>
      <c r="U37" s="41"/>
      <c r="V37" s="41"/>
      <c r="W37" s="41"/>
      <c r="X37" s="41"/>
      <c r="Y37" s="41"/>
    </row>
    <row r="38" spans="1:25" s="47" customFormat="1" ht="14.25" customHeight="1">
      <c r="A38" s="36"/>
      <c r="B38" s="4"/>
      <c r="C38" s="4"/>
      <c r="D38" s="4"/>
      <c r="E38" s="4"/>
      <c r="F38" s="4"/>
      <c r="G38" s="4"/>
      <c r="H38" s="4"/>
      <c r="I38" s="4"/>
      <c r="J38" s="4"/>
      <c r="K38" s="4"/>
      <c r="L38" s="4"/>
      <c r="M38" s="4"/>
      <c r="N38" s="4"/>
      <c r="O38" s="4"/>
      <c r="P38" s="4"/>
      <c r="Q38" s="4"/>
      <c r="R38" s="4"/>
      <c r="S38" s="4"/>
      <c r="T38" s="36"/>
      <c r="U38" s="41"/>
      <c r="V38" s="41"/>
      <c r="W38" s="41"/>
      <c r="X38" s="41"/>
      <c r="Y38" s="41"/>
    </row>
    <row r="39" spans="1:25" s="47" customFormat="1" ht="14.25" customHeight="1">
      <c r="A39" s="36"/>
      <c r="B39" s="4"/>
      <c r="C39" s="4"/>
      <c r="D39" s="4"/>
      <c r="E39" s="4"/>
      <c r="F39" s="4"/>
      <c r="G39" s="4"/>
      <c r="H39" s="4"/>
      <c r="I39" s="4"/>
      <c r="J39" s="4"/>
      <c r="K39" s="4"/>
      <c r="L39" s="4"/>
      <c r="M39" s="4"/>
      <c r="N39" s="4"/>
      <c r="O39" s="4"/>
      <c r="P39" s="4"/>
      <c r="Q39" s="4"/>
      <c r="R39" s="4"/>
      <c r="S39" s="4"/>
      <c r="T39" s="36"/>
      <c r="U39" s="41"/>
      <c r="V39" s="41"/>
      <c r="W39" s="41"/>
      <c r="X39" s="41"/>
      <c r="Y39" s="41"/>
    </row>
    <row r="40" spans="1:25" s="47" customFormat="1" ht="14.25" customHeight="1">
      <c r="A40" s="36"/>
      <c r="B40" s="4"/>
      <c r="C40" s="4"/>
      <c r="D40" s="4"/>
      <c r="E40" s="4"/>
      <c r="F40" s="4"/>
      <c r="G40" s="4"/>
      <c r="H40" s="4"/>
      <c r="I40" s="4"/>
      <c r="J40" s="4"/>
      <c r="K40" s="4"/>
      <c r="L40" s="4"/>
      <c r="M40" s="4"/>
      <c r="N40" s="4"/>
      <c r="O40" s="4"/>
      <c r="P40" s="4"/>
      <c r="Q40" s="4"/>
      <c r="R40" s="4"/>
      <c r="S40" s="4"/>
      <c r="T40" s="36"/>
      <c r="U40" s="41"/>
      <c r="V40" s="41"/>
      <c r="W40" s="41"/>
      <c r="X40" s="41"/>
      <c r="Y40" s="41"/>
    </row>
    <row r="41" spans="1:25" s="47" customFormat="1" ht="14.25" customHeight="1">
      <c r="A41" s="36"/>
      <c r="B41" s="4"/>
      <c r="C41" s="4"/>
      <c r="D41" s="88"/>
      <c r="E41" s="4"/>
      <c r="F41" s="4"/>
      <c r="G41" s="4"/>
      <c r="H41" s="4"/>
      <c r="I41" s="4"/>
      <c r="J41" s="4"/>
      <c r="K41" s="4"/>
      <c r="L41" s="4"/>
      <c r="M41" s="4"/>
      <c r="N41" s="4"/>
      <c r="O41" s="4"/>
      <c r="P41" s="100"/>
      <c r="Q41" s="4"/>
      <c r="R41" s="4"/>
      <c r="S41" s="4"/>
      <c r="T41" s="36"/>
      <c r="U41" s="41"/>
      <c r="V41" s="41"/>
      <c r="W41" s="41"/>
      <c r="X41" s="41"/>
      <c r="Y41" s="41"/>
    </row>
    <row r="42" spans="1:25" s="47" customFormat="1" ht="14.25" customHeight="1">
      <c r="A42" s="36"/>
      <c r="B42" s="4"/>
      <c r="C42" s="4"/>
      <c r="D42" s="88"/>
      <c r="E42" s="4"/>
      <c r="F42" s="4"/>
      <c r="G42" s="4"/>
      <c r="H42" s="4"/>
      <c r="I42" s="4"/>
      <c r="J42" s="4"/>
      <c r="K42" s="4"/>
      <c r="L42" s="4"/>
      <c r="M42" s="4"/>
      <c r="N42" s="4"/>
      <c r="O42" s="4"/>
      <c r="P42" s="100"/>
      <c r="Q42" s="4"/>
      <c r="R42" s="4"/>
      <c r="S42" s="4"/>
      <c r="T42" s="36"/>
      <c r="U42" s="41"/>
      <c r="V42" s="41"/>
      <c r="W42" s="41"/>
      <c r="X42" s="41"/>
      <c r="Y42" s="41"/>
    </row>
    <row r="43" spans="1:25" s="47" customFormat="1" ht="14.25" customHeight="1">
      <c r="A43" s="36"/>
      <c r="B43" s="4"/>
      <c r="C43" s="4"/>
      <c r="D43" s="88"/>
      <c r="E43" s="4"/>
      <c r="F43" s="4"/>
      <c r="G43" s="4"/>
      <c r="H43" s="4"/>
      <c r="I43" s="4"/>
      <c r="J43" s="4"/>
      <c r="K43" s="4"/>
      <c r="L43" s="4"/>
      <c r="M43" s="4"/>
      <c r="N43" s="4"/>
      <c r="O43" s="4"/>
      <c r="P43" s="100"/>
      <c r="Q43" s="4"/>
      <c r="R43" s="4"/>
      <c r="S43" s="4"/>
      <c r="T43" s="36"/>
      <c r="U43" s="41"/>
      <c r="V43" s="41"/>
      <c r="W43" s="41"/>
      <c r="X43" s="41"/>
      <c r="Y43" s="41"/>
    </row>
    <row r="44" spans="1:25" s="47" customFormat="1" ht="14.25" customHeight="1">
      <c r="A44" s="4"/>
      <c r="B44" s="4"/>
      <c r="C44" s="4"/>
      <c r="D44" s="4"/>
      <c r="E44" s="4"/>
      <c r="F44" s="4"/>
      <c r="G44" s="4"/>
      <c r="H44" s="4"/>
      <c r="I44" s="4"/>
      <c r="J44" s="4"/>
      <c r="K44" s="4"/>
      <c r="L44" s="4"/>
      <c r="M44" s="4"/>
      <c r="N44" s="4"/>
      <c r="O44" s="4"/>
      <c r="P44" s="4"/>
      <c r="Q44" s="89"/>
      <c r="R44" s="89"/>
      <c r="S44" s="89"/>
      <c r="T44" s="36"/>
      <c r="U44" s="41"/>
      <c r="V44" s="41"/>
      <c r="W44" s="41"/>
      <c r="X44" s="41"/>
      <c r="Y44" s="41"/>
    </row>
    <row r="45" spans="1:25" s="47" customFormat="1" ht="14.25" customHeight="1">
      <c r="A45" s="4"/>
      <c r="B45" s="4"/>
      <c r="C45" s="4"/>
      <c r="D45" s="4"/>
      <c r="E45" s="4"/>
      <c r="F45" s="4"/>
      <c r="G45" s="4"/>
      <c r="H45" s="4"/>
      <c r="I45" s="4"/>
      <c r="J45" s="4"/>
      <c r="K45" s="4"/>
      <c r="L45" s="4"/>
      <c r="M45" s="4"/>
      <c r="N45" s="4"/>
      <c r="O45" s="4"/>
      <c r="P45" s="4"/>
      <c r="Q45" s="89"/>
      <c r="R45" s="89"/>
      <c r="S45" s="89"/>
      <c r="T45" s="36"/>
      <c r="U45" s="41"/>
      <c r="V45" s="41"/>
      <c r="W45" s="41"/>
      <c r="X45" s="41"/>
      <c r="Y45" s="41"/>
    </row>
    <row r="46" spans="1:25" s="47" customFormat="1" ht="14.25" customHeight="1">
      <c r="A46" s="4"/>
      <c r="B46" s="4"/>
      <c r="C46" s="4"/>
      <c r="D46" s="4"/>
      <c r="E46" s="4"/>
      <c r="F46" s="4"/>
      <c r="G46" s="4"/>
      <c r="H46" s="4"/>
      <c r="I46" s="4"/>
      <c r="J46" s="4"/>
      <c r="K46" s="4"/>
      <c r="L46" s="4"/>
      <c r="M46" s="4"/>
      <c r="N46" s="4"/>
      <c r="O46" s="4"/>
      <c r="P46" s="4"/>
      <c r="Q46" s="101"/>
      <c r="R46" s="101"/>
      <c r="S46" s="101"/>
      <c r="T46" s="36"/>
      <c r="U46" s="41"/>
      <c r="V46" s="41"/>
      <c r="W46" s="41"/>
      <c r="X46" s="41"/>
      <c r="Y46" s="41"/>
    </row>
    <row r="47" spans="1:25" s="47" customFormat="1" ht="14.25" customHeight="1">
      <c r="A47" s="4"/>
      <c r="B47" s="4"/>
      <c r="C47" s="4"/>
      <c r="D47" s="4"/>
      <c r="E47" s="4"/>
      <c r="F47" s="4"/>
      <c r="G47" s="4"/>
      <c r="H47" s="4"/>
      <c r="I47" s="4"/>
      <c r="J47" s="4"/>
      <c r="K47" s="4"/>
      <c r="L47" s="4"/>
      <c r="M47" s="4"/>
      <c r="N47" s="4"/>
      <c r="O47" s="4"/>
      <c r="P47" s="4"/>
      <c r="Q47" s="101"/>
      <c r="R47" s="101"/>
      <c r="S47" s="101"/>
      <c r="T47" s="36"/>
      <c r="U47" s="41"/>
      <c r="V47" s="41"/>
      <c r="W47" s="41"/>
      <c r="X47" s="41"/>
      <c r="Y47" s="41"/>
    </row>
    <row r="48" spans="1:25" s="47" customFormat="1" ht="11.25">
      <c r="A48" s="41"/>
      <c r="B48" s="41"/>
      <c r="C48" s="41"/>
      <c r="D48" s="41"/>
      <c r="E48" s="41"/>
      <c r="F48" s="41"/>
      <c r="G48" s="41"/>
      <c r="H48" s="41"/>
      <c r="I48" s="41"/>
      <c r="J48" s="41"/>
      <c r="K48" s="41"/>
      <c r="L48" s="41"/>
      <c r="M48" s="41"/>
      <c r="N48" s="41"/>
      <c r="O48" s="41"/>
      <c r="P48" s="41"/>
      <c r="Q48" s="41"/>
      <c r="R48" s="41"/>
      <c r="S48" s="41"/>
      <c r="T48" s="54"/>
      <c r="U48" s="41"/>
      <c r="V48" s="41"/>
      <c r="W48" s="41"/>
      <c r="X48" s="41"/>
      <c r="Y48" s="41"/>
    </row>
    <row r="49" spans="1:25" s="38" customFormat="1">
      <c r="A49" s="41">
        <v>0</v>
      </c>
      <c r="B49" s="41"/>
      <c r="C49" s="41"/>
      <c r="D49" s="41"/>
      <c r="E49" s="41"/>
      <c r="F49" s="41"/>
      <c r="G49" s="41"/>
      <c r="H49" s="41"/>
      <c r="I49" s="41"/>
      <c r="J49" s="41"/>
      <c r="K49" s="41"/>
      <c r="L49" s="41"/>
      <c r="M49" s="41"/>
      <c r="N49" s="41"/>
      <c r="O49" s="41"/>
      <c r="P49" s="41"/>
      <c r="Q49" s="41"/>
      <c r="R49" s="41"/>
      <c r="S49" s="41"/>
      <c r="T49" s="54"/>
      <c r="U49" s="41"/>
      <c r="V49" s="41"/>
      <c r="W49" s="41"/>
      <c r="X49" s="41"/>
      <c r="Y49" s="41"/>
    </row>
    <row r="50" spans="1:25" s="38" customFormat="1">
      <c r="A50" s="41">
        <v>1</v>
      </c>
      <c r="B50" s="41"/>
      <c r="C50" s="41"/>
      <c r="D50" s="41"/>
      <c r="E50" s="41"/>
      <c r="F50" s="41"/>
      <c r="G50" s="41"/>
      <c r="H50" s="41"/>
      <c r="I50" s="41"/>
      <c r="J50" s="41"/>
      <c r="K50" s="41"/>
      <c r="L50" s="41"/>
      <c r="M50" s="41"/>
      <c r="N50" s="41"/>
      <c r="O50" s="41"/>
      <c r="P50" s="41"/>
      <c r="Q50" s="41"/>
      <c r="R50" s="41"/>
      <c r="S50" s="41"/>
      <c r="T50" s="54"/>
      <c r="U50" s="41"/>
      <c r="V50" s="41"/>
      <c r="W50" s="41"/>
      <c r="X50" s="41"/>
      <c r="Y50" s="41"/>
    </row>
    <row r="51" spans="1:25" s="38" customFormat="1">
      <c r="A51" s="41">
        <v>2</v>
      </c>
      <c r="B51" s="41"/>
      <c r="C51" s="41"/>
      <c r="D51" s="41"/>
      <c r="E51" s="41"/>
      <c r="F51" s="41"/>
      <c r="G51" s="41"/>
      <c r="H51" s="41"/>
      <c r="I51" s="41"/>
      <c r="J51" s="41"/>
      <c r="K51" s="41"/>
      <c r="L51" s="41"/>
      <c r="M51" s="41"/>
      <c r="N51" s="41"/>
      <c r="O51" s="41"/>
      <c r="P51" s="41"/>
      <c r="Q51" s="41"/>
      <c r="R51" s="41"/>
      <c r="S51" s="41"/>
      <c r="T51" s="54"/>
      <c r="U51" s="41"/>
      <c r="V51" s="41"/>
      <c r="W51" s="41"/>
      <c r="X51" s="41"/>
      <c r="Y51" s="41"/>
    </row>
    <row r="52" spans="1:25" s="38" customFormat="1">
      <c r="A52" s="41">
        <v>3</v>
      </c>
      <c r="B52" s="41"/>
      <c r="C52" s="41"/>
      <c r="D52" s="41"/>
      <c r="E52" s="41"/>
      <c r="F52" s="41"/>
      <c r="G52" s="41"/>
      <c r="H52" s="41"/>
      <c r="I52" s="41"/>
      <c r="J52" s="41"/>
      <c r="K52" s="41"/>
      <c r="L52" s="41"/>
      <c r="M52" s="41"/>
      <c r="N52" s="41"/>
      <c r="O52" s="41"/>
      <c r="P52" s="41"/>
      <c r="Q52" s="41"/>
      <c r="R52" s="41"/>
      <c r="S52" s="41"/>
      <c r="T52" s="54"/>
      <c r="U52" s="41"/>
      <c r="V52" s="41"/>
      <c r="W52" s="41"/>
      <c r="X52" s="41"/>
      <c r="Y52" s="41"/>
    </row>
    <row r="53" spans="1:25" s="38" customFormat="1">
      <c r="A53" s="41">
        <v>4</v>
      </c>
      <c r="B53" s="41"/>
      <c r="C53" s="41"/>
      <c r="D53" s="41"/>
      <c r="E53" s="41"/>
      <c r="F53" s="41"/>
      <c r="G53" s="41"/>
      <c r="H53" s="41"/>
      <c r="I53" s="41"/>
      <c r="J53" s="41"/>
      <c r="K53" s="41"/>
      <c r="L53" s="41"/>
      <c r="M53" s="41"/>
      <c r="N53" s="41"/>
      <c r="O53" s="41"/>
      <c r="P53" s="41"/>
      <c r="Q53" s="41"/>
      <c r="R53" s="41"/>
      <c r="S53" s="41"/>
      <c r="T53" s="54"/>
      <c r="U53" s="41"/>
      <c r="V53" s="41"/>
      <c r="W53" s="41"/>
      <c r="X53" s="41"/>
      <c r="Y53" s="41"/>
    </row>
    <row r="54" spans="1:25" s="38" customFormat="1">
      <c r="A54" s="41">
        <v>5</v>
      </c>
      <c r="B54" s="41"/>
      <c r="C54" s="41"/>
      <c r="D54" s="41"/>
      <c r="E54" s="41"/>
      <c r="F54" s="41"/>
      <c r="G54" s="41"/>
      <c r="H54" s="41"/>
      <c r="I54" s="41"/>
      <c r="J54" s="41"/>
      <c r="K54" s="41"/>
      <c r="L54" s="41"/>
      <c r="M54" s="41"/>
      <c r="N54" s="41"/>
      <c r="O54" s="41"/>
      <c r="P54" s="41"/>
      <c r="Q54" s="41"/>
      <c r="R54" s="41"/>
      <c r="S54" s="41"/>
      <c r="T54" s="54"/>
      <c r="U54" s="41"/>
      <c r="V54" s="41"/>
      <c r="W54" s="41"/>
      <c r="X54" s="41"/>
      <c r="Y54" s="41"/>
    </row>
    <row r="55" spans="1:25" s="38" customFormat="1">
      <c r="A55" s="41">
        <v>6</v>
      </c>
      <c r="B55" s="41"/>
      <c r="C55" s="41"/>
      <c r="D55" s="41"/>
      <c r="E55" s="41"/>
      <c r="F55" s="41"/>
      <c r="G55" s="41"/>
      <c r="H55" s="41"/>
      <c r="I55" s="41"/>
      <c r="J55" s="41"/>
      <c r="K55" s="41"/>
      <c r="L55" s="41"/>
      <c r="M55" s="41"/>
      <c r="N55" s="41"/>
      <c r="O55" s="41"/>
      <c r="P55" s="41"/>
      <c r="Q55" s="41"/>
      <c r="R55" s="41"/>
      <c r="S55" s="41"/>
      <c r="T55" s="54"/>
      <c r="U55" s="41"/>
      <c r="V55" s="41"/>
      <c r="W55" s="41"/>
      <c r="X55" s="41"/>
      <c r="Y55" s="41"/>
    </row>
    <row r="56" spans="1:25" s="38" customFormat="1">
      <c r="A56" s="41">
        <v>7</v>
      </c>
      <c r="B56" s="41"/>
      <c r="C56" s="41"/>
      <c r="D56" s="41"/>
      <c r="E56" s="41"/>
      <c r="F56" s="41"/>
      <c r="G56" s="41"/>
      <c r="H56" s="41"/>
      <c r="I56" s="41"/>
      <c r="J56" s="41"/>
      <c r="K56" s="41"/>
      <c r="L56" s="41"/>
      <c r="M56" s="41"/>
      <c r="N56" s="41"/>
      <c r="O56" s="41"/>
      <c r="P56" s="41"/>
      <c r="Q56" s="41"/>
      <c r="R56" s="41"/>
      <c r="S56" s="41"/>
      <c r="T56" s="54"/>
      <c r="U56" s="41"/>
      <c r="V56" s="41"/>
      <c r="W56" s="41"/>
      <c r="X56" s="41"/>
      <c r="Y56" s="41"/>
    </row>
    <row r="57" spans="1:25" s="38" customFormat="1">
      <c r="A57" s="41">
        <v>8</v>
      </c>
      <c r="B57" s="41"/>
      <c r="C57" s="41"/>
      <c r="D57" s="41"/>
      <c r="E57" s="41"/>
      <c r="F57" s="41"/>
      <c r="G57" s="41"/>
      <c r="H57" s="41"/>
      <c r="I57" s="41"/>
      <c r="J57" s="41"/>
      <c r="K57" s="41"/>
      <c r="L57" s="41"/>
      <c r="M57" s="41"/>
      <c r="N57" s="41"/>
      <c r="O57" s="41"/>
      <c r="P57" s="41"/>
      <c r="Q57" s="41"/>
      <c r="R57" s="41"/>
      <c r="S57" s="41"/>
      <c r="T57" s="54"/>
      <c r="U57" s="41"/>
      <c r="V57" s="41"/>
      <c r="W57" s="41"/>
      <c r="X57" s="41"/>
      <c r="Y57" s="41"/>
    </row>
    <row r="58" spans="1:25" s="38" customFormat="1">
      <c r="A58" s="41">
        <v>9</v>
      </c>
      <c r="B58" s="41"/>
      <c r="C58" s="41"/>
      <c r="D58" s="41"/>
      <c r="E58" s="41"/>
      <c r="F58" s="41"/>
      <c r="G58" s="41"/>
      <c r="H58" s="41"/>
      <c r="I58" s="41"/>
      <c r="J58" s="41"/>
      <c r="K58" s="41"/>
      <c r="L58" s="41"/>
      <c r="M58" s="41"/>
      <c r="N58" s="41"/>
      <c r="O58" s="41"/>
      <c r="P58" s="41"/>
      <c r="Q58" s="41"/>
      <c r="R58" s="41"/>
      <c r="S58" s="41"/>
      <c r="T58" s="54"/>
      <c r="U58" s="41"/>
      <c r="V58" s="41"/>
      <c r="W58" s="41"/>
      <c r="X58" s="41"/>
      <c r="Y58" s="41"/>
    </row>
    <row r="59" spans="1:25" s="38" customFormat="1">
      <c r="A59" s="41">
        <v>10</v>
      </c>
      <c r="B59" s="41"/>
      <c r="C59" s="41"/>
      <c r="D59" s="41"/>
      <c r="E59" s="41"/>
      <c r="F59" s="41"/>
      <c r="G59" s="41"/>
      <c r="H59" s="41"/>
      <c r="I59" s="41"/>
      <c r="J59" s="41"/>
      <c r="K59" s="41"/>
      <c r="L59" s="41"/>
      <c r="M59" s="41"/>
      <c r="N59" s="41"/>
      <c r="O59" s="41"/>
      <c r="P59" s="41"/>
      <c r="Q59" s="41"/>
      <c r="R59" s="41"/>
      <c r="S59" s="41"/>
      <c r="T59" s="54"/>
      <c r="U59" s="41"/>
      <c r="V59" s="41"/>
      <c r="W59" s="41"/>
      <c r="X59" s="41"/>
      <c r="Y59" s="41"/>
    </row>
    <row r="60" spans="1:25" s="38" customFormat="1">
      <c r="A60" s="41">
        <v>11</v>
      </c>
      <c r="B60" s="41"/>
      <c r="C60" s="41"/>
      <c r="D60" s="41"/>
      <c r="E60" s="41"/>
      <c r="F60" s="41"/>
      <c r="G60" s="41"/>
      <c r="H60" s="41"/>
      <c r="I60" s="41"/>
      <c r="J60" s="41"/>
      <c r="K60" s="41"/>
      <c r="L60" s="41"/>
      <c r="M60" s="41"/>
      <c r="N60" s="41"/>
      <c r="O60" s="41"/>
      <c r="P60" s="41"/>
      <c r="Q60" s="41"/>
      <c r="R60" s="41"/>
      <c r="S60" s="41"/>
      <c r="T60" s="54"/>
      <c r="U60" s="41"/>
      <c r="V60" s="41"/>
      <c r="W60" s="41"/>
      <c r="X60" s="41"/>
      <c r="Y60" s="41"/>
    </row>
    <row r="61" spans="1:25" s="38" customFormat="1">
      <c r="A61" s="41">
        <v>12</v>
      </c>
      <c r="B61" s="41"/>
      <c r="C61" s="41"/>
      <c r="D61" s="41"/>
      <c r="E61" s="41"/>
      <c r="F61" s="41"/>
      <c r="G61" s="41"/>
      <c r="H61" s="41"/>
      <c r="I61" s="41"/>
      <c r="J61" s="41"/>
      <c r="K61" s="41"/>
      <c r="L61" s="41"/>
      <c r="M61" s="41"/>
      <c r="N61" s="41"/>
      <c r="O61" s="41"/>
      <c r="P61" s="41"/>
      <c r="Q61" s="41"/>
      <c r="R61" s="41"/>
      <c r="S61" s="41"/>
      <c r="T61" s="54"/>
      <c r="U61" s="41"/>
      <c r="V61" s="41"/>
      <c r="W61" s="41"/>
      <c r="X61" s="41"/>
      <c r="Y61" s="41"/>
    </row>
    <row r="62" spans="1:25" s="38" customFormat="1">
      <c r="A62" s="41">
        <v>13</v>
      </c>
      <c r="B62" s="41"/>
      <c r="C62" s="41"/>
      <c r="D62" s="41"/>
      <c r="E62" s="41"/>
      <c r="F62" s="41"/>
      <c r="G62" s="41"/>
      <c r="H62" s="41"/>
      <c r="I62" s="41"/>
      <c r="J62" s="41"/>
      <c r="K62" s="41"/>
      <c r="L62" s="41"/>
      <c r="M62" s="41"/>
      <c r="N62" s="41"/>
      <c r="O62" s="41"/>
      <c r="P62" s="41"/>
      <c r="Q62" s="41"/>
      <c r="R62" s="41"/>
      <c r="S62" s="41"/>
      <c r="T62" s="54"/>
      <c r="U62" s="41"/>
      <c r="V62" s="41"/>
      <c r="W62" s="41"/>
      <c r="X62" s="41"/>
      <c r="Y62" s="41"/>
    </row>
    <row r="63" spans="1:25" s="38" customFormat="1">
      <c r="A63" s="41">
        <v>14</v>
      </c>
      <c r="B63" s="41"/>
      <c r="C63" s="41"/>
      <c r="D63" s="41"/>
      <c r="E63" s="41"/>
      <c r="F63" s="41"/>
      <c r="G63" s="41"/>
      <c r="H63" s="41"/>
      <c r="I63" s="41"/>
      <c r="J63" s="41"/>
      <c r="K63" s="41"/>
      <c r="L63" s="41"/>
      <c r="M63" s="41"/>
      <c r="N63" s="41"/>
      <c r="O63" s="41"/>
      <c r="P63" s="41"/>
      <c r="Q63" s="41"/>
      <c r="R63" s="41"/>
      <c r="S63" s="41"/>
      <c r="T63" s="54"/>
      <c r="U63" s="41"/>
      <c r="V63" s="41"/>
      <c r="W63" s="41"/>
      <c r="X63" s="41"/>
      <c r="Y63" s="41"/>
    </row>
    <row r="64" spans="1:25" s="38" customFormat="1">
      <c r="A64" s="41">
        <v>15</v>
      </c>
      <c r="B64" s="41"/>
      <c r="C64" s="41"/>
      <c r="D64" s="41"/>
      <c r="E64" s="41"/>
      <c r="F64" s="41"/>
      <c r="G64" s="41"/>
      <c r="H64" s="41"/>
      <c r="I64" s="41"/>
      <c r="J64" s="41"/>
      <c r="K64" s="41"/>
      <c r="L64" s="41"/>
      <c r="M64" s="41"/>
      <c r="N64" s="41"/>
      <c r="O64" s="41"/>
      <c r="P64" s="41"/>
      <c r="Q64" s="41"/>
      <c r="R64" s="41"/>
      <c r="S64" s="41"/>
      <c r="T64" s="54"/>
      <c r="U64" s="41"/>
      <c r="V64" s="41"/>
      <c r="W64" s="41"/>
      <c r="X64" s="41"/>
      <c r="Y64" s="41"/>
    </row>
    <row r="65" spans="1:25" s="38" customFormat="1">
      <c r="A65" s="41">
        <v>16</v>
      </c>
      <c r="B65" s="41"/>
      <c r="C65" s="41"/>
      <c r="D65" s="41"/>
      <c r="E65" s="41"/>
      <c r="F65" s="41"/>
      <c r="G65" s="41"/>
      <c r="H65" s="41"/>
      <c r="I65" s="41"/>
      <c r="J65" s="41"/>
      <c r="K65" s="41"/>
      <c r="L65" s="41"/>
      <c r="M65" s="41"/>
      <c r="N65" s="41"/>
      <c r="O65" s="41"/>
      <c r="P65" s="41"/>
      <c r="Q65" s="41"/>
      <c r="R65" s="41"/>
      <c r="S65" s="41"/>
      <c r="T65" s="54"/>
      <c r="U65" s="41"/>
      <c r="V65" s="41"/>
      <c r="W65" s="41"/>
      <c r="X65" s="41"/>
      <c r="Y65" s="41"/>
    </row>
    <row r="66" spans="1:25" s="38" customFormat="1">
      <c r="A66" s="41">
        <v>17</v>
      </c>
      <c r="B66" s="41"/>
      <c r="C66" s="41"/>
      <c r="D66" s="41"/>
      <c r="E66" s="41"/>
      <c r="F66" s="41"/>
      <c r="G66" s="41"/>
      <c r="H66" s="41"/>
      <c r="I66" s="41"/>
      <c r="J66" s="41"/>
      <c r="K66" s="41"/>
      <c r="L66" s="41"/>
      <c r="M66" s="41"/>
      <c r="N66" s="41"/>
      <c r="O66" s="41"/>
      <c r="P66" s="41"/>
      <c r="Q66" s="41"/>
      <c r="R66" s="41"/>
      <c r="S66" s="41"/>
      <c r="T66" s="54"/>
      <c r="U66" s="41"/>
      <c r="V66" s="41"/>
      <c r="W66" s="41"/>
      <c r="X66" s="41"/>
      <c r="Y66" s="41"/>
    </row>
    <row r="67" spans="1:25" s="38" customFormat="1">
      <c r="A67" s="41">
        <v>18</v>
      </c>
      <c r="B67" s="41"/>
      <c r="C67" s="41"/>
      <c r="D67" s="41"/>
      <c r="E67" s="41"/>
      <c r="F67" s="41"/>
      <c r="G67" s="41"/>
      <c r="H67" s="41"/>
      <c r="I67" s="41"/>
      <c r="J67" s="41"/>
      <c r="K67" s="41"/>
      <c r="L67" s="41"/>
      <c r="M67" s="41"/>
      <c r="N67" s="41"/>
      <c r="O67" s="41"/>
      <c r="P67" s="41"/>
      <c r="Q67" s="41"/>
      <c r="R67" s="41"/>
      <c r="S67" s="41"/>
      <c r="T67" s="54"/>
      <c r="U67" s="41"/>
      <c r="V67" s="41"/>
      <c r="W67" s="41"/>
      <c r="X67" s="41"/>
      <c r="Y67" s="41"/>
    </row>
    <row r="68" spans="1:25" s="38" customFormat="1">
      <c r="A68" s="41">
        <v>19</v>
      </c>
      <c r="B68" s="41"/>
      <c r="C68" s="41"/>
      <c r="D68" s="41"/>
      <c r="E68" s="41"/>
      <c r="F68" s="41"/>
      <c r="G68" s="41"/>
      <c r="H68" s="41"/>
      <c r="I68" s="41"/>
      <c r="J68" s="41"/>
      <c r="K68" s="41"/>
      <c r="L68" s="41"/>
      <c r="M68" s="41"/>
      <c r="N68" s="41"/>
      <c r="O68" s="41"/>
      <c r="P68" s="41"/>
      <c r="Q68" s="41"/>
      <c r="R68" s="41"/>
      <c r="S68" s="41"/>
      <c r="T68" s="54"/>
      <c r="U68" s="41"/>
      <c r="V68" s="41"/>
      <c r="W68" s="41"/>
      <c r="X68" s="41"/>
      <c r="Y68" s="41"/>
    </row>
    <row r="69" spans="1:25" s="38" customFormat="1">
      <c r="A69" s="41">
        <v>20</v>
      </c>
      <c r="B69" s="41"/>
      <c r="C69" s="41"/>
      <c r="D69" s="41"/>
      <c r="E69" s="41"/>
      <c r="F69" s="41"/>
      <c r="G69" s="41"/>
      <c r="H69" s="41"/>
      <c r="I69" s="41"/>
      <c r="J69" s="41"/>
      <c r="K69" s="41"/>
      <c r="L69" s="41"/>
      <c r="M69" s="41"/>
      <c r="N69" s="41"/>
      <c r="O69" s="41"/>
      <c r="P69" s="41"/>
      <c r="Q69" s="41"/>
      <c r="R69" s="41"/>
      <c r="S69" s="41"/>
      <c r="T69" s="54"/>
      <c r="U69" s="41"/>
      <c r="V69" s="41"/>
      <c r="W69" s="41"/>
      <c r="X69" s="41"/>
      <c r="Y69" s="41"/>
    </row>
    <row r="70" spans="1:25" s="38" customFormat="1">
      <c r="A70" s="41">
        <v>21</v>
      </c>
      <c r="B70" s="41"/>
      <c r="C70" s="41"/>
      <c r="D70" s="41"/>
      <c r="E70" s="41"/>
      <c r="F70" s="41"/>
      <c r="G70" s="41"/>
      <c r="H70" s="41"/>
      <c r="I70" s="41"/>
      <c r="J70" s="41"/>
      <c r="K70" s="41"/>
      <c r="L70" s="41"/>
      <c r="M70" s="41"/>
      <c r="N70" s="41"/>
      <c r="O70" s="41"/>
      <c r="P70" s="41"/>
      <c r="Q70" s="41"/>
      <c r="R70" s="41"/>
      <c r="S70" s="41"/>
      <c r="T70" s="54"/>
      <c r="U70" s="41"/>
      <c r="V70" s="41"/>
      <c r="W70" s="41"/>
      <c r="X70" s="41"/>
      <c r="Y70" s="41"/>
    </row>
    <row r="71" spans="1:25" s="38" customFormat="1">
      <c r="A71" s="41">
        <v>22</v>
      </c>
      <c r="B71" s="41"/>
      <c r="C71" s="41"/>
      <c r="D71" s="41"/>
      <c r="E71" s="41"/>
      <c r="F71" s="41"/>
      <c r="G71" s="41"/>
      <c r="H71" s="41"/>
      <c r="I71" s="41"/>
      <c r="J71" s="41"/>
      <c r="K71" s="41"/>
      <c r="L71" s="41"/>
      <c r="M71" s="41"/>
      <c r="N71" s="41"/>
      <c r="O71" s="41"/>
      <c r="P71" s="41"/>
      <c r="Q71" s="41"/>
      <c r="R71" s="41"/>
      <c r="S71" s="41"/>
      <c r="T71" s="54"/>
      <c r="U71" s="41"/>
      <c r="V71" s="41"/>
      <c r="W71" s="41"/>
      <c r="X71" s="41"/>
      <c r="Y71" s="41"/>
    </row>
    <row r="72" spans="1:25">
      <c r="A72" s="41">
        <v>23</v>
      </c>
      <c r="B72" s="90"/>
      <c r="C72" s="90"/>
      <c r="D72" s="90"/>
      <c r="E72" s="90"/>
      <c r="F72" s="90"/>
      <c r="G72" s="90"/>
      <c r="H72" s="90"/>
      <c r="I72" s="90"/>
      <c r="J72" s="90"/>
      <c r="K72" s="90"/>
      <c r="L72" s="90"/>
      <c r="M72" s="90"/>
      <c r="N72" s="90"/>
      <c r="O72" s="90"/>
      <c r="P72" s="90"/>
      <c r="Q72" s="90"/>
      <c r="R72" s="90"/>
      <c r="S72" s="90"/>
      <c r="T72" s="79"/>
      <c r="U72" s="90"/>
      <c r="V72" s="90"/>
      <c r="W72" s="90"/>
      <c r="X72" s="90"/>
      <c r="Y72" s="90"/>
    </row>
    <row r="73" spans="1:25">
      <c r="A73" s="41">
        <v>24</v>
      </c>
      <c r="B73" s="90"/>
      <c r="C73" s="90"/>
      <c r="D73" s="90"/>
      <c r="E73" s="90"/>
      <c r="F73" s="90"/>
      <c r="G73" s="90"/>
      <c r="H73" s="90"/>
      <c r="I73" s="90"/>
      <c r="J73" s="90"/>
      <c r="K73" s="90"/>
      <c r="L73" s="90"/>
      <c r="M73" s="90"/>
      <c r="N73" s="90"/>
      <c r="O73" s="90"/>
      <c r="P73" s="90"/>
      <c r="Q73" s="90"/>
      <c r="R73" s="90"/>
      <c r="S73" s="90"/>
      <c r="T73" s="79"/>
      <c r="U73" s="90"/>
      <c r="V73" s="90"/>
      <c r="W73" s="90"/>
      <c r="X73" s="90"/>
      <c r="Y73" s="90"/>
    </row>
    <row r="74" spans="1:25">
      <c r="A74" s="41">
        <v>25</v>
      </c>
      <c r="B74" s="90"/>
      <c r="C74" s="90"/>
      <c r="D74" s="90"/>
      <c r="E74" s="90"/>
      <c r="F74" s="90"/>
      <c r="G74" s="90"/>
      <c r="H74" s="90"/>
      <c r="I74" s="90"/>
      <c r="J74" s="90"/>
      <c r="K74" s="90"/>
      <c r="L74" s="90"/>
      <c r="M74" s="90"/>
      <c r="N74" s="90"/>
      <c r="O74" s="90"/>
      <c r="P74" s="90"/>
      <c r="Q74" s="90"/>
      <c r="R74" s="90"/>
      <c r="S74" s="90"/>
      <c r="T74" s="79"/>
      <c r="U74" s="90"/>
      <c r="V74" s="90"/>
      <c r="W74" s="90"/>
      <c r="X74" s="90"/>
      <c r="Y74" s="90"/>
    </row>
    <row r="75" spans="1:25">
      <c r="A75" s="41">
        <v>26</v>
      </c>
      <c r="B75" s="90"/>
      <c r="C75" s="90"/>
      <c r="D75" s="90"/>
      <c r="E75" s="90"/>
      <c r="F75" s="90"/>
      <c r="G75" s="90"/>
      <c r="H75" s="90"/>
      <c r="I75" s="90"/>
      <c r="J75" s="90"/>
      <c r="K75" s="90"/>
      <c r="L75" s="90"/>
      <c r="M75" s="90"/>
      <c r="N75" s="90"/>
      <c r="O75" s="90"/>
      <c r="P75" s="90"/>
      <c r="Q75" s="90"/>
      <c r="R75" s="90"/>
      <c r="S75" s="90"/>
      <c r="T75" s="79"/>
      <c r="U75" s="90"/>
      <c r="V75" s="90"/>
      <c r="W75" s="90"/>
      <c r="X75" s="90"/>
      <c r="Y75" s="90"/>
    </row>
    <row r="76" spans="1:25">
      <c r="A76" s="41">
        <v>27</v>
      </c>
      <c r="B76" s="90"/>
      <c r="C76" s="90"/>
      <c r="D76" s="90"/>
      <c r="E76" s="90"/>
      <c r="F76" s="90"/>
      <c r="G76" s="90"/>
      <c r="H76" s="90"/>
      <c r="I76" s="90"/>
      <c r="J76" s="90"/>
      <c r="K76" s="90"/>
      <c r="L76" s="90"/>
      <c r="M76" s="90"/>
      <c r="N76" s="90"/>
      <c r="O76" s="90"/>
      <c r="P76" s="90"/>
      <c r="Q76" s="90"/>
      <c r="R76" s="90"/>
      <c r="S76" s="90"/>
      <c r="T76" s="79"/>
      <c r="U76" s="90"/>
      <c r="V76" s="90"/>
      <c r="W76" s="90"/>
      <c r="X76" s="90"/>
      <c r="Y76" s="90"/>
    </row>
    <row r="77" spans="1:25">
      <c r="A77" s="41">
        <v>28</v>
      </c>
      <c r="B77" s="90"/>
      <c r="C77" s="90"/>
      <c r="D77" s="90"/>
      <c r="E77" s="90"/>
      <c r="F77" s="90"/>
      <c r="G77" s="90"/>
      <c r="H77" s="90"/>
      <c r="I77" s="90"/>
      <c r="J77" s="90"/>
      <c r="K77" s="90"/>
      <c r="L77" s="90"/>
      <c r="M77" s="90"/>
      <c r="N77" s="90"/>
      <c r="O77" s="90"/>
      <c r="P77" s="90"/>
      <c r="Q77" s="90"/>
      <c r="R77" s="90"/>
      <c r="S77" s="90"/>
      <c r="T77" s="79"/>
      <c r="U77" s="90"/>
      <c r="V77" s="90"/>
      <c r="W77" s="90"/>
      <c r="X77" s="90"/>
      <c r="Y77" s="90"/>
    </row>
    <row r="78" spans="1:25">
      <c r="A78" s="41">
        <v>29</v>
      </c>
      <c r="B78" s="90"/>
      <c r="C78" s="90"/>
      <c r="D78" s="90"/>
      <c r="E78" s="90"/>
      <c r="F78" s="90"/>
      <c r="G78" s="90"/>
      <c r="H78" s="90"/>
      <c r="I78" s="90"/>
      <c r="J78" s="90"/>
      <c r="K78" s="90"/>
      <c r="L78" s="90"/>
      <c r="M78" s="90"/>
      <c r="N78" s="90"/>
      <c r="O78" s="90"/>
      <c r="P78" s="90"/>
      <c r="Q78" s="90"/>
      <c r="R78" s="90"/>
      <c r="S78" s="90"/>
      <c r="T78" s="79"/>
      <c r="U78" s="90"/>
      <c r="V78" s="90"/>
      <c r="W78" s="90"/>
      <c r="X78" s="90"/>
      <c r="Y78" s="90"/>
    </row>
    <row r="79" spans="1:25">
      <c r="A79" s="41">
        <v>30</v>
      </c>
      <c r="B79" s="90"/>
      <c r="C79" s="90"/>
      <c r="D79" s="90"/>
      <c r="E79" s="90"/>
      <c r="F79" s="90"/>
      <c r="G79" s="90"/>
      <c r="H79" s="90"/>
      <c r="I79" s="90"/>
      <c r="J79" s="90"/>
      <c r="K79" s="90"/>
      <c r="L79" s="90"/>
      <c r="M79" s="90"/>
      <c r="N79" s="90"/>
      <c r="O79" s="90"/>
      <c r="P79" s="90"/>
      <c r="Q79" s="90"/>
      <c r="R79" s="90"/>
      <c r="S79" s="90"/>
      <c r="T79" s="79"/>
      <c r="U79" s="90"/>
      <c r="V79" s="90"/>
      <c r="W79" s="90"/>
      <c r="X79" s="90"/>
      <c r="Y79" s="90"/>
    </row>
    <row r="80" spans="1:25">
      <c r="A80" s="41">
        <v>31</v>
      </c>
      <c r="B80" s="90"/>
      <c r="C80" s="90"/>
      <c r="D80" s="90"/>
      <c r="E80" s="90"/>
      <c r="F80" s="90"/>
      <c r="G80" s="90"/>
      <c r="H80" s="90"/>
      <c r="I80" s="90"/>
      <c r="J80" s="90"/>
      <c r="K80" s="90"/>
      <c r="L80" s="90"/>
      <c r="M80" s="90"/>
      <c r="N80" s="90"/>
      <c r="O80" s="90"/>
      <c r="P80" s="90"/>
      <c r="Q80" s="90"/>
      <c r="R80" s="90"/>
      <c r="S80" s="90"/>
      <c r="T80" s="79"/>
      <c r="U80" s="90"/>
      <c r="V80" s="90"/>
      <c r="W80" s="90"/>
      <c r="X80" s="90"/>
      <c r="Y80" s="90"/>
    </row>
    <row r="81" spans="1:25">
      <c r="A81" s="41">
        <v>32</v>
      </c>
      <c r="B81" s="90"/>
      <c r="C81" s="90"/>
      <c r="D81" s="90"/>
      <c r="E81" s="90"/>
      <c r="F81" s="90"/>
      <c r="G81" s="90"/>
      <c r="H81" s="90"/>
      <c r="I81" s="90"/>
      <c r="J81" s="90"/>
      <c r="K81" s="90"/>
      <c r="L81" s="90"/>
      <c r="M81" s="90"/>
      <c r="N81" s="90"/>
      <c r="O81" s="90"/>
      <c r="P81" s="90"/>
      <c r="Q81" s="90"/>
      <c r="R81" s="90"/>
      <c r="S81" s="90"/>
      <c r="T81" s="79"/>
      <c r="U81" s="90"/>
      <c r="V81" s="90"/>
      <c r="W81" s="90"/>
      <c r="X81" s="90"/>
      <c r="Y81" s="90"/>
    </row>
    <row r="82" spans="1:25">
      <c r="A82" s="41">
        <v>33</v>
      </c>
      <c r="B82" s="90"/>
      <c r="C82" s="90"/>
      <c r="D82" s="90"/>
      <c r="E82" s="90"/>
      <c r="F82" s="90"/>
      <c r="G82" s="90"/>
      <c r="H82" s="90"/>
      <c r="I82" s="90"/>
      <c r="J82" s="90"/>
      <c r="K82" s="90"/>
      <c r="L82" s="90"/>
      <c r="M82" s="90"/>
      <c r="N82" s="90"/>
      <c r="O82" s="90"/>
      <c r="P82" s="90"/>
      <c r="Q82" s="90"/>
      <c r="R82" s="90"/>
      <c r="S82" s="90"/>
      <c r="T82" s="79"/>
      <c r="U82" s="90"/>
      <c r="V82" s="90"/>
      <c r="W82" s="90"/>
      <c r="X82" s="90"/>
      <c r="Y82" s="90"/>
    </row>
    <row r="83" spans="1:25">
      <c r="A83" s="41">
        <v>34</v>
      </c>
      <c r="B83" s="90"/>
      <c r="C83" s="90"/>
      <c r="D83" s="90"/>
      <c r="E83" s="90"/>
      <c r="F83" s="90"/>
      <c r="G83" s="90"/>
      <c r="H83" s="90"/>
      <c r="I83" s="90"/>
      <c r="J83" s="90"/>
      <c r="K83" s="90"/>
      <c r="L83" s="90"/>
      <c r="M83" s="90"/>
      <c r="N83" s="90"/>
      <c r="O83" s="90"/>
      <c r="P83" s="90"/>
      <c r="Q83" s="90"/>
      <c r="R83" s="90"/>
      <c r="S83" s="90"/>
      <c r="T83" s="79"/>
      <c r="U83" s="90"/>
      <c r="V83" s="90"/>
      <c r="W83" s="90"/>
      <c r="X83" s="90"/>
      <c r="Y83" s="90"/>
    </row>
    <row r="84" spans="1:25">
      <c r="A84" s="41">
        <v>35</v>
      </c>
      <c r="B84" s="90"/>
      <c r="C84" s="90"/>
      <c r="D84" s="90"/>
      <c r="E84" s="90"/>
      <c r="F84" s="90"/>
      <c r="G84" s="90"/>
      <c r="H84" s="90"/>
      <c r="I84" s="90"/>
      <c r="J84" s="90"/>
      <c r="K84" s="90"/>
      <c r="L84" s="90"/>
      <c r="M84" s="90"/>
      <c r="N84" s="90"/>
      <c r="O84" s="90"/>
      <c r="P84" s="90"/>
      <c r="Q84" s="90"/>
      <c r="R84" s="90"/>
      <c r="S84" s="90"/>
      <c r="T84" s="79"/>
      <c r="U84" s="90"/>
      <c r="V84" s="90"/>
      <c r="W84" s="90"/>
      <c r="X84" s="90"/>
      <c r="Y84" s="90"/>
    </row>
    <row r="85" spans="1:25">
      <c r="A85" s="41">
        <v>36</v>
      </c>
    </row>
    <row r="86" spans="1:25">
      <c r="A86" s="41">
        <v>37</v>
      </c>
    </row>
    <row r="87" spans="1:25">
      <c r="A87" s="41">
        <v>38</v>
      </c>
    </row>
    <row r="88" spans="1:25">
      <c r="A88" s="41">
        <v>39</v>
      </c>
    </row>
    <row r="89" spans="1:25">
      <c r="A89" s="41">
        <v>40</v>
      </c>
    </row>
  </sheetData>
  <sheetProtection password="C5CB" sheet="1" objects="1" scenarios="1" selectLockedCells="1"/>
  <protectedRanges>
    <protectedRange sqref="E41:F43" name="Range15"/>
    <protectedRange sqref="N41:O43" name="Range14"/>
    <protectedRange sqref="G8:M8 Q8 T33 T30 R7:T8 E7:M7 N7:N8 O7:Q7 C7:D8 T11 T14:T15" name="Range1_1"/>
    <protectedRange sqref="T22:T25" name="Range3_1"/>
    <protectedRange sqref="F30:O30 T27:T29" name="Range5_1"/>
    <protectedRange sqref="K37" name="Range8"/>
    <protectedRange sqref="K38" name="Range9_1"/>
    <protectedRange sqref="E40:I40" name="Range10_1"/>
    <protectedRange sqref="R40:S40" name="Range11_1"/>
    <protectedRange sqref="P30" name="Range5_4"/>
    <protectedRange sqref="Q21:S29" name="Range5_1_1"/>
    <protectedRange sqref="N21:P29" name="Range5_2"/>
    <protectedRange sqref="P33 P15" name="Range1_1_1"/>
    <protectedRange sqref="P8" name="Range1_2"/>
  </protectedRanges>
  <mergeCells count="57">
    <mergeCell ref="B35:F35"/>
    <mergeCell ref="Q36:S36"/>
    <mergeCell ref="C29:J29"/>
    <mergeCell ref="K29:M29"/>
    <mergeCell ref="N29:P29"/>
    <mergeCell ref="Q29:S29"/>
    <mergeCell ref="Q30:S30"/>
    <mergeCell ref="B32:J32"/>
    <mergeCell ref="C28:J28"/>
    <mergeCell ref="K28:M28"/>
    <mergeCell ref="N28:P28"/>
    <mergeCell ref="Q28:S28"/>
    <mergeCell ref="K33:M33"/>
    <mergeCell ref="Q33:S33"/>
    <mergeCell ref="C26:J26"/>
    <mergeCell ref="K26:M26"/>
    <mergeCell ref="N26:P26"/>
    <mergeCell ref="Q26:S26"/>
    <mergeCell ref="C27:J27"/>
    <mergeCell ref="K27:M27"/>
    <mergeCell ref="N27:P27"/>
    <mergeCell ref="Q27:S27"/>
    <mergeCell ref="C24:J24"/>
    <mergeCell ref="K24:M24"/>
    <mergeCell ref="N24:P24"/>
    <mergeCell ref="Q24:S24"/>
    <mergeCell ref="C25:J25"/>
    <mergeCell ref="K25:M25"/>
    <mergeCell ref="N25:P25"/>
    <mergeCell ref="Q25:S25"/>
    <mergeCell ref="C22:J22"/>
    <mergeCell ref="K22:M22"/>
    <mergeCell ref="N22:P22"/>
    <mergeCell ref="Q22:S22"/>
    <mergeCell ref="C23:J23"/>
    <mergeCell ref="K23:M23"/>
    <mergeCell ref="N23:P23"/>
    <mergeCell ref="Q23:S23"/>
    <mergeCell ref="C21:J21"/>
    <mergeCell ref="K21:M21"/>
    <mergeCell ref="N21:P21"/>
    <mergeCell ref="Q21:S21"/>
    <mergeCell ref="B14:K14"/>
    <mergeCell ref="C20:J20"/>
    <mergeCell ref="K20:M20"/>
    <mergeCell ref="N20:P20"/>
    <mergeCell ref="Q20:S20"/>
    <mergeCell ref="Q11:S11"/>
    <mergeCell ref="K15:M15"/>
    <mergeCell ref="Q15:S15"/>
    <mergeCell ref="B17:H17"/>
    <mergeCell ref="Q18:S18"/>
    <mergeCell ref="B4:T4"/>
    <mergeCell ref="B7:N7"/>
    <mergeCell ref="K8:M8"/>
    <mergeCell ref="Q8:S8"/>
    <mergeCell ref="B11:G11"/>
  </mergeCells>
  <dataValidations count="1">
    <dataValidation type="list" allowBlank="1" showErrorMessage="1" sqref="B21:B29">
      <formula1>$A$49:$A$89</formula1>
    </dataValidation>
  </dataValidations>
  <printOptions horizontalCentered="1"/>
  <pageMargins left="0.74803149606299213" right="0.74803149606299213" top="0.98425196850393704" bottom="0.98425196850393704" header="0.51181102362204722" footer="0.51181102362204722"/>
  <pageSetup paperSize="9" scale="93" orientation="portrait" r:id="rId1"/>
  <headerFooter scaleWithDoc="0" alignWithMargins="0">
    <oddHeader>&amp;L&amp;"-,Regular"&amp;8&amp;F&amp;R&amp;"-,Regular"&amp;8&amp;A
____________________________________________________________________________</oddHeader>
    <oddFooter>&amp;L&amp;"-,Regular"&amp;8___________________________________________________________________________________
NZ Transport Agency’s Economic evaluation manual 
Effective from Jul 2013</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Y82"/>
  <sheetViews>
    <sheetView zoomScaleNormal="100" workbookViewId="0">
      <selection activeCell="N7" sqref="N7:Q7"/>
    </sheetView>
  </sheetViews>
  <sheetFormatPr defaultColWidth="9.140625" defaultRowHeight="12.75"/>
  <cols>
    <col min="1" max="1" width="2.85546875" style="5" customWidth="1"/>
    <col min="2" max="2" width="6.85546875" style="5" customWidth="1"/>
    <col min="3" max="3" width="6.42578125" style="5" customWidth="1"/>
    <col min="4" max="8" width="5.140625" style="5" customWidth="1"/>
    <col min="9" max="9" width="5.85546875" style="5" customWidth="1"/>
    <col min="10" max="17" width="5.140625" style="5" customWidth="1"/>
    <col min="18" max="18" width="3.7109375" style="2" customWidth="1"/>
    <col min="19" max="16384" width="9.140625" style="5"/>
  </cols>
  <sheetData>
    <row r="1" spans="1:25" s="47" customFormat="1" ht="16.5" customHeight="1">
      <c r="B1" s="46"/>
      <c r="C1" s="40"/>
      <c r="D1" s="40"/>
      <c r="E1" s="40"/>
      <c r="F1" s="40"/>
      <c r="G1" s="40"/>
      <c r="H1" s="40"/>
      <c r="I1" s="40"/>
      <c r="J1" s="40"/>
      <c r="K1" s="40"/>
      <c r="L1" s="40"/>
      <c r="M1" s="40"/>
      <c r="N1" s="40"/>
      <c r="O1" s="40"/>
      <c r="P1" s="40"/>
      <c r="Q1" s="48"/>
      <c r="S1" s="41" t="s">
        <v>359</v>
      </c>
    </row>
    <row r="2" spans="1:25" s="38" customFormat="1" ht="19.5" customHeight="1">
      <c r="A2" s="82" t="s">
        <v>402</v>
      </c>
      <c r="B2" s="53"/>
      <c r="C2" s="41"/>
      <c r="D2" s="41"/>
      <c r="E2" s="41"/>
      <c r="F2" s="41"/>
      <c r="G2" s="41"/>
      <c r="H2" s="41"/>
      <c r="I2" s="41"/>
      <c r="J2" s="41"/>
      <c r="K2" s="41"/>
      <c r="L2" s="41"/>
      <c r="M2" s="41"/>
      <c r="N2" s="41"/>
      <c r="O2" s="127" t="str">
        <f>'SP11-1'!$L$2</f>
        <v>Spreadsheet v 3 (27-March-14)</v>
      </c>
      <c r="P2" s="41"/>
      <c r="Q2" s="41"/>
      <c r="R2" s="41"/>
      <c r="S2" s="139" t="s">
        <v>360</v>
      </c>
      <c r="T2" s="41"/>
      <c r="U2" s="41"/>
      <c r="V2" s="41"/>
      <c r="W2" s="41"/>
      <c r="X2" s="41"/>
      <c r="Y2" s="41"/>
    </row>
    <row r="3" spans="1:25" s="47" customFormat="1" ht="11.25" customHeight="1">
      <c r="A3" s="55" t="s">
        <v>298</v>
      </c>
      <c r="B3" s="55"/>
      <c r="C3" s="4"/>
      <c r="D3" s="4"/>
      <c r="E3" s="4"/>
      <c r="F3" s="4"/>
      <c r="G3" s="4"/>
      <c r="H3" s="4"/>
      <c r="I3" s="4"/>
      <c r="J3" s="4"/>
      <c r="K3" s="4"/>
      <c r="L3" s="4"/>
      <c r="M3" s="4"/>
      <c r="N3" s="4"/>
      <c r="O3" s="4"/>
      <c r="P3" s="4"/>
      <c r="Q3" s="54"/>
      <c r="R3" s="41"/>
      <c r="S3" s="41"/>
      <c r="T3" s="41"/>
      <c r="U3" s="41"/>
      <c r="V3" s="41"/>
      <c r="W3" s="41"/>
      <c r="X3" s="41"/>
      <c r="Y3" s="41"/>
    </row>
    <row r="4" spans="1:25" s="38" customFormat="1" ht="15">
      <c r="A4" s="82"/>
      <c r="B4" s="295" t="s">
        <v>376</v>
      </c>
      <c r="C4" s="295"/>
      <c r="D4" s="295"/>
      <c r="E4" s="295"/>
      <c r="F4" s="295"/>
      <c r="G4" s="295"/>
      <c r="H4" s="295"/>
      <c r="I4" s="295"/>
      <c r="J4" s="295"/>
      <c r="K4" s="295"/>
      <c r="L4" s="295"/>
      <c r="M4" s="295"/>
      <c r="N4" s="295"/>
      <c r="O4" s="295"/>
      <c r="P4" s="295"/>
      <c r="Q4" s="295"/>
      <c r="R4" s="295"/>
      <c r="S4" s="41"/>
      <c r="T4" s="41"/>
      <c r="U4" s="41"/>
      <c r="V4" s="41"/>
      <c r="W4" s="41"/>
      <c r="X4" s="41"/>
      <c r="Y4" s="41"/>
    </row>
    <row r="5" spans="1:25" s="47" customFormat="1" ht="11.25" customHeight="1">
      <c r="A5" s="36"/>
      <c r="B5" s="36"/>
      <c r="C5" s="4"/>
      <c r="D5" s="4"/>
      <c r="E5" s="4"/>
      <c r="F5" s="4"/>
      <c r="G5" s="4"/>
      <c r="H5" s="4"/>
      <c r="I5" s="4"/>
      <c r="J5" s="4"/>
      <c r="K5" s="4"/>
      <c r="L5" s="4"/>
      <c r="M5" s="4"/>
      <c r="N5" s="4"/>
      <c r="O5" s="4"/>
      <c r="P5" s="4"/>
      <c r="Q5" s="54"/>
      <c r="R5" s="41"/>
      <c r="S5" s="41"/>
      <c r="T5" s="41"/>
      <c r="U5" s="41"/>
      <c r="V5" s="41"/>
      <c r="W5" s="41"/>
      <c r="X5" s="41"/>
      <c r="Y5" s="41"/>
    </row>
    <row r="6" spans="1:25" s="47" customFormat="1" ht="4.5" customHeight="1">
      <c r="A6" s="56"/>
      <c r="B6" s="56"/>
      <c r="C6" s="57"/>
      <c r="D6" s="57"/>
      <c r="E6" s="57"/>
      <c r="F6" s="57"/>
      <c r="G6" s="57"/>
      <c r="H6" s="57"/>
      <c r="I6" s="57"/>
      <c r="J6" s="57"/>
      <c r="K6" s="57"/>
      <c r="L6" s="57"/>
      <c r="M6" s="57"/>
      <c r="N6" s="57"/>
      <c r="O6" s="57"/>
      <c r="P6" s="57"/>
      <c r="Q6" s="57"/>
      <c r="R6" s="57"/>
      <c r="S6" s="41"/>
      <c r="T6" s="41"/>
      <c r="U6" s="41"/>
      <c r="V6" s="41"/>
      <c r="W6" s="41"/>
      <c r="X6" s="41"/>
      <c r="Y6" s="41"/>
    </row>
    <row r="7" spans="1:25" s="47" customFormat="1" ht="19.5" customHeight="1">
      <c r="A7" s="58">
        <v>1</v>
      </c>
      <c r="B7" s="322" t="s">
        <v>539</v>
      </c>
      <c r="C7" s="322"/>
      <c r="D7" s="322"/>
      <c r="E7" s="322"/>
      <c r="F7" s="322"/>
      <c r="G7" s="60"/>
      <c r="H7" s="60"/>
      <c r="I7" s="57"/>
      <c r="J7" s="57"/>
      <c r="K7" s="57"/>
      <c r="L7" s="57"/>
      <c r="M7" s="57"/>
      <c r="N7" s="374"/>
      <c r="O7" s="374"/>
      <c r="P7" s="374"/>
      <c r="Q7" s="374"/>
      <c r="R7" s="56"/>
      <c r="S7" s="41"/>
      <c r="T7" s="41"/>
      <c r="U7" s="41"/>
      <c r="V7" s="41"/>
      <c r="W7" s="41"/>
      <c r="X7" s="41"/>
      <c r="Y7" s="41"/>
    </row>
    <row r="8" spans="1:25" s="51" customFormat="1" ht="5.25" customHeight="1" thickBot="1">
      <c r="A8" s="61"/>
      <c r="B8" s="62"/>
      <c r="C8" s="62"/>
      <c r="D8" s="62"/>
      <c r="E8" s="62"/>
      <c r="F8" s="73"/>
      <c r="G8" s="375"/>
      <c r="H8" s="375"/>
      <c r="I8" s="375"/>
      <c r="J8" s="375"/>
      <c r="K8" s="62"/>
      <c r="L8" s="62"/>
      <c r="M8" s="73"/>
      <c r="N8" s="62"/>
      <c r="O8" s="62"/>
      <c r="P8" s="62"/>
      <c r="Q8" s="62"/>
      <c r="R8" s="75"/>
      <c r="S8" s="63"/>
      <c r="T8" s="63"/>
      <c r="U8" s="63"/>
      <c r="V8" s="63"/>
      <c r="W8" s="63"/>
      <c r="X8" s="63"/>
      <c r="Y8" s="63"/>
    </row>
    <row r="9" spans="1:25" s="47" customFormat="1" ht="19.5" customHeight="1" thickTop="1">
      <c r="A9" s="58">
        <v>2</v>
      </c>
      <c r="B9" s="321" t="s">
        <v>233</v>
      </c>
      <c r="C9" s="321"/>
      <c r="D9" s="321"/>
      <c r="E9" s="57"/>
      <c r="F9" s="57"/>
      <c r="G9" s="57"/>
      <c r="H9" s="57"/>
      <c r="I9" s="57"/>
      <c r="J9" s="57"/>
      <c r="K9" s="57"/>
      <c r="L9" s="57"/>
      <c r="M9" s="57"/>
      <c r="N9" s="57"/>
      <c r="O9" s="57"/>
      <c r="P9" s="57"/>
      <c r="Q9" s="57"/>
      <c r="R9" s="58"/>
      <c r="S9" s="41"/>
      <c r="T9" s="41"/>
      <c r="U9" s="41"/>
      <c r="V9" s="41"/>
      <c r="W9" s="41"/>
      <c r="X9" s="41"/>
      <c r="Y9" s="41"/>
    </row>
    <row r="10" spans="1:25" s="47" customFormat="1" ht="24.75" customHeight="1" thickBot="1">
      <c r="A10" s="56"/>
      <c r="B10" s="376" t="s">
        <v>301</v>
      </c>
      <c r="C10" s="376"/>
      <c r="D10" s="376"/>
      <c r="E10" s="376"/>
      <c r="F10" s="376"/>
      <c r="G10" s="376"/>
      <c r="H10" s="376"/>
      <c r="I10" s="376"/>
      <c r="J10" s="376"/>
      <c r="K10" s="376"/>
      <c r="L10" s="376"/>
      <c r="M10" s="376"/>
      <c r="N10" s="378">
        <f>'SP11-1'!I35</f>
        <v>2000</v>
      </c>
      <c r="O10" s="378"/>
      <c r="P10" s="378"/>
      <c r="Q10" s="378"/>
      <c r="R10" s="56"/>
      <c r="S10" s="41"/>
      <c r="T10" s="41"/>
      <c r="U10" s="41"/>
      <c r="V10" s="41"/>
      <c r="W10" s="41"/>
      <c r="X10" s="41"/>
      <c r="Y10" s="41"/>
    </row>
    <row r="11" spans="1:25" s="47" customFormat="1" ht="19.5" customHeight="1" thickTop="1" thickBot="1">
      <c r="A11" s="56"/>
      <c r="B11" s="57" t="s">
        <v>639</v>
      </c>
      <c r="C11" s="57"/>
      <c r="D11" s="57"/>
      <c r="E11" s="57"/>
      <c r="F11" s="57"/>
      <c r="G11" s="57"/>
      <c r="H11" s="57"/>
      <c r="I11" s="57"/>
      <c r="J11" s="57"/>
      <c r="K11" s="57"/>
      <c r="L11" s="57"/>
      <c r="M11" s="72"/>
      <c r="N11" s="379"/>
      <c r="O11" s="379"/>
      <c r="P11" s="379"/>
      <c r="Q11" s="379"/>
      <c r="R11" s="56"/>
      <c r="S11" s="41"/>
      <c r="T11" s="41"/>
      <c r="U11" s="41"/>
      <c r="V11" s="41"/>
      <c r="W11" s="41"/>
      <c r="X11" s="41"/>
      <c r="Y11" s="41"/>
    </row>
    <row r="12" spans="1:25" s="47" customFormat="1" ht="19.5" customHeight="1" thickTop="1">
      <c r="A12" s="56"/>
      <c r="B12" s="57" t="s">
        <v>299</v>
      </c>
      <c r="C12" s="57"/>
      <c r="D12" s="57"/>
      <c r="E12" s="57"/>
      <c r="F12" s="57" t="s">
        <v>643</v>
      </c>
      <c r="G12" s="57"/>
      <c r="H12" s="57"/>
      <c r="I12" s="57"/>
      <c r="J12" s="57"/>
      <c r="K12" s="57"/>
      <c r="L12" s="57"/>
      <c r="M12" s="72" t="s">
        <v>16</v>
      </c>
      <c r="N12" s="383"/>
      <c r="O12" s="383"/>
      <c r="P12" s="383"/>
      <c r="Q12" s="383"/>
      <c r="R12" s="56"/>
      <c r="S12" s="41"/>
      <c r="T12" s="41"/>
      <c r="U12" s="41"/>
      <c r="V12" s="41"/>
      <c r="W12" s="41"/>
      <c r="X12" s="41"/>
      <c r="Y12" s="41"/>
    </row>
    <row r="13" spans="1:25" s="47" customFormat="1" ht="3" customHeight="1">
      <c r="A13" s="56"/>
      <c r="B13" s="57"/>
      <c r="C13" s="57"/>
      <c r="D13" s="57"/>
      <c r="E13" s="57"/>
      <c r="F13" s="57"/>
      <c r="G13" s="57"/>
      <c r="H13" s="57"/>
      <c r="I13" s="57"/>
      <c r="J13" s="57"/>
      <c r="K13" s="57"/>
      <c r="L13" s="57"/>
      <c r="M13" s="56"/>
      <c r="N13" s="56"/>
      <c r="O13" s="56"/>
      <c r="P13" s="56"/>
      <c r="Q13" s="56"/>
      <c r="R13" s="56"/>
      <c r="S13" s="41"/>
      <c r="T13" s="41"/>
      <c r="U13" s="41"/>
      <c r="V13" s="41"/>
      <c r="W13" s="41"/>
      <c r="X13" s="41"/>
      <c r="Y13" s="41"/>
    </row>
    <row r="14" spans="1:25" s="47" customFormat="1" ht="19.5" customHeight="1">
      <c r="A14" s="56"/>
      <c r="B14" s="391"/>
      <c r="C14" s="392"/>
      <c r="D14" s="392"/>
      <c r="E14" s="392"/>
      <c r="F14" s="377" t="s">
        <v>302</v>
      </c>
      <c r="G14" s="377"/>
      <c r="H14" s="377"/>
      <c r="I14" s="377"/>
      <c r="J14" s="377"/>
      <c r="K14" s="377"/>
      <c r="L14" s="377" t="s">
        <v>32</v>
      </c>
      <c r="M14" s="377"/>
      <c r="N14" s="377"/>
      <c r="O14" s="377"/>
      <c r="P14" s="377"/>
      <c r="Q14" s="395"/>
      <c r="R14" s="56"/>
      <c r="S14" s="41"/>
      <c r="T14" s="41"/>
      <c r="U14" s="41"/>
      <c r="V14" s="41"/>
      <c r="W14" s="41"/>
      <c r="X14" s="41"/>
      <c r="Y14" s="41"/>
    </row>
    <row r="15" spans="1:25" s="47" customFormat="1" ht="19.5" customHeight="1">
      <c r="A15" s="56"/>
      <c r="B15" s="393" t="s">
        <v>300</v>
      </c>
      <c r="C15" s="393"/>
      <c r="D15" s="393"/>
      <c r="E15" s="393"/>
      <c r="F15" s="394" t="s">
        <v>321</v>
      </c>
      <c r="G15" s="390"/>
      <c r="H15" s="386">
        <f>'SP11-1'!I43</f>
        <v>1.4</v>
      </c>
      <c r="I15" s="386"/>
      <c r="J15" s="386"/>
      <c r="K15" s="386"/>
      <c r="L15" s="389" t="s">
        <v>322</v>
      </c>
      <c r="M15" s="390"/>
      <c r="N15" s="386">
        <f>'SP11-1'!I42</f>
        <v>1.4</v>
      </c>
      <c r="O15" s="386"/>
      <c r="P15" s="386"/>
      <c r="Q15" s="386"/>
      <c r="R15" s="56"/>
      <c r="S15" s="41"/>
      <c r="T15" s="41"/>
      <c r="U15" s="41"/>
      <c r="V15" s="41"/>
      <c r="W15" s="41"/>
      <c r="X15" s="41"/>
      <c r="Y15" s="41"/>
    </row>
    <row r="16" spans="1:25" s="47" customFormat="1" ht="19.5" customHeight="1">
      <c r="A16" s="56"/>
      <c r="B16" s="369" t="s">
        <v>640</v>
      </c>
      <c r="C16" s="369"/>
      <c r="D16" s="369"/>
      <c r="E16" s="369"/>
      <c r="F16" s="370" t="s">
        <v>323</v>
      </c>
      <c r="G16" s="371"/>
      <c r="H16" s="372"/>
      <c r="I16" s="372"/>
      <c r="J16" s="372"/>
      <c r="K16" s="372"/>
      <c r="L16" s="373" t="s">
        <v>324</v>
      </c>
      <c r="M16" s="371"/>
      <c r="N16" s="387"/>
      <c r="O16" s="387"/>
      <c r="P16" s="387"/>
      <c r="Q16" s="387"/>
      <c r="R16" s="56"/>
      <c r="S16" s="41"/>
      <c r="T16" s="41"/>
      <c r="U16" s="41"/>
      <c r="V16" s="41"/>
      <c r="W16" s="41"/>
      <c r="X16" s="41"/>
      <c r="Y16" s="41"/>
    </row>
    <row r="17" spans="1:25" s="47" customFormat="1" ht="19.5" customHeight="1">
      <c r="A17" s="56"/>
      <c r="B17" s="220" t="s">
        <v>260</v>
      </c>
      <c r="C17" s="69"/>
      <c r="D17" s="69"/>
      <c r="E17" s="69"/>
      <c r="F17" s="69" t="s">
        <v>629</v>
      </c>
      <c r="G17" s="69"/>
      <c r="H17" s="69"/>
      <c r="I17" s="69"/>
      <c r="J17" s="69"/>
      <c r="K17" s="69"/>
      <c r="L17" s="69"/>
      <c r="M17" s="69"/>
      <c r="N17" s="382"/>
      <c r="O17" s="382"/>
      <c r="P17" s="382"/>
      <c r="Q17" s="382"/>
      <c r="R17" s="56"/>
      <c r="S17" s="41"/>
      <c r="T17" s="41"/>
      <c r="U17" s="41"/>
      <c r="V17" s="41"/>
      <c r="W17" s="41"/>
      <c r="X17" s="41"/>
      <c r="Y17" s="41"/>
    </row>
    <row r="18" spans="1:25" s="51" customFormat="1" ht="6" customHeight="1" thickBot="1">
      <c r="A18" s="106"/>
      <c r="B18" s="124"/>
      <c r="C18" s="124"/>
      <c r="D18" s="124"/>
      <c r="E18" s="124"/>
      <c r="F18" s="124"/>
      <c r="G18" s="124"/>
      <c r="H18" s="124"/>
      <c r="I18" s="124"/>
      <c r="J18" s="124"/>
      <c r="K18" s="124"/>
      <c r="L18" s="124"/>
      <c r="M18" s="124"/>
      <c r="N18" s="124"/>
      <c r="O18" s="124"/>
      <c r="P18" s="124"/>
      <c r="Q18" s="124"/>
      <c r="R18" s="61"/>
      <c r="S18" s="63"/>
      <c r="T18" s="63"/>
      <c r="U18" s="63"/>
      <c r="V18" s="63"/>
      <c r="W18" s="63"/>
      <c r="X18" s="63"/>
      <c r="Y18" s="63"/>
    </row>
    <row r="19" spans="1:25" s="47" customFormat="1" ht="19.5" customHeight="1" thickTop="1">
      <c r="A19" s="58">
        <v>3</v>
      </c>
      <c r="B19" s="322" t="s">
        <v>349</v>
      </c>
      <c r="C19" s="322"/>
      <c r="D19" s="322"/>
      <c r="E19" s="322"/>
      <c r="F19" s="322"/>
      <c r="G19" s="322"/>
      <c r="H19" s="322"/>
      <c r="I19" s="65"/>
      <c r="J19" s="65"/>
      <c r="K19" s="65"/>
      <c r="L19" s="65"/>
      <c r="M19" s="65"/>
      <c r="N19" s="65"/>
      <c r="O19" s="65"/>
      <c r="P19" s="65"/>
      <c r="Q19" s="65"/>
      <c r="R19" s="56"/>
      <c r="S19" s="41"/>
      <c r="T19" s="41"/>
      <c r="U19" s="41"/>
      <c r="V19" s="41"/>
      <c r="W19" s="41"/>
      <c r="X19" s="41"/>
      <c r="Y19" s="41"/>
    </row>
    <row r="20" spans="1:25" s="47" customFormat="1" ht="19.5" customHeight="1">
      <c r="A20" s="56"/>
      <c r="B20" s="65"/>
      <c r="C20" s="65"/>
      <c r="D20" s="65"/>
      <c r="E20" s="65"/>
      <c r="F20" s="65"/>
      <c r="G20" s="65"/>
      <c r="H20" s="65"/>
      <c r="I20" s="65"/>
      <c r="J20" s="65"/>
      <c r="K20" s="65"/>
      <c r="L20" s="65"/>
      <c r="M20" s="65"/>
      <c r="N20" s="65"/>
      <c r="O20" s="65"/>
      <c r="P20" s="65"/>
      <c r="Q20" s="65"/>
      <c r="R20" s="56"/>
      <c r="S20" s="41"/>
      <c r="T20" s="41"/>
      <c r="U20" s="41"/>
      <c r="V20" s="41"/>
      <c r="W20" s="41"/>
      <c r="X20" s="41"/>
      <c r="Y20" s="41"/>
    </row>
    <row r="21" spans="1:25" s="47" customFormat="1" ht="19.5" customHeight="1">
      <c r="A21" s="56"/>
      <c r="B21" s="65"/>
      <c r="C21" s="65"/>
      <c r="D21" s="65"/>
      <c r="E21" s="65"/>
      <c r="F21" s="65"/>
      <c r="G21" s="304" t="s">
        <v>325</v>
      </c>
      <c r="H21" s="304"/>
      <c r="I21" s="304"/>
      <c r="J21" s="304"/>
      <c r="K21" s="304"/>
      <c r="L21" s="304"/>
      <c r="M21" s="380" t="s">
        <v>18</v>
      </c>
      <c r="N21" s="342">
        <f>IF(H16=0,0,(N10*365*H15*N12)/H16)</f>
        <v>0</v>
      </c>
      <c r="O21" s="342"/>
      <c r="P21" s="342"/>
      <c r="Q21" s="342"/>
      <c r="R21" s="305" t="s">
        <v>28</v>
      </c>
      <c r="S21" s="41"/>
      <c r="T21" s="41"/>
      <c r="U21" s="41"/>
      <c r="V21" s="41"/>
      <c r="W21" s="41"/>
      <c r="X21" s="41"/>
      <c r="Y21" s="41"/>
    </row>
    <row r="22" spans="1:25" s="47" customFormat="1" ht="19.5" customHeight="1">
      <c r="A22" s="56"/>
      <c r="B22" s="65"/>
      <c r="C22" s="65"/>
      <c r="D22" s="65"/>
      <c r="E22" s="65"/>
      <c r="F22" s="65"/>
      <c r="G22" s="308" t="s">
        <v>323</v>
      </c>
      <c r="H22" s="308"/>
      <c r="I22" s="308"/>
      <c r="J22" s="308"/>
      <c r="K22" s="308"/>
      <c r="L22" s="308"/>
      <c r="M22" s="381"/>
      <c r="N22" s="342"/>
      <c r="O22" s="342"/>
      <c r="P22" s="342"/>
      <c r="Q22" s="342"/>
      <c r="R22" s="305"/>
      <c r="S22" s="41"/>
      <c r="T22" s="41"/>
      <c r="U22" s="41"/>
      <c r="V22" s="41"/>
      <c r="W22" s="41"/>
      <c r="X22" s="41"/>
      <c r="Y22" s="41"/>
    </row>
    <row r="23" spans="1:25" s="51" customFormat="1" ht="3.75" customHeight="1" thickBot="1">
      <c r="A23" s="61"/>
      <c r="B23" s="106"/>
      <c r="C23" s="106"/>
      <c r="D23" s="106"/>
      <c r="E23" s="106"/>
      <c r="F23" s="106"/>
      <c r="G23" s="106"/>
      <c r="H23" s="106"/>
      <c r="I23" s="106"/>
      <c r="J23" s="106"/>
      <c r="K23" s="106"/>
      <c r="L23" s="106"/>
      <c r="M23" s="73"/>
      <c r="N23" s="106"/>
      <c r="O23" s="106"/>
      <c r="P23" s="106"/>
      <c r="Q23" s="106"/>
      <c r="R23" s="61"/>
      <c r="S23" s="63"/>
      <c r="T23" s="63"/>
      <c r="U23" s="63"/>
      <c r="V23" s="63"/>
      <c r="W23" s="63"/>
      <c r="X23" s="63"/>
      <c r="Y23" s="63"/>
    </row>
    <row r="24" spans="1:25" s="47" customFormat="1" ht="19.5" customHeight="1" thickTop="1">
      <c r="A24" s="58">
        <v>4</v>
      </c>
      <c r="B24" s="388" t="s">
        <v>350</v>
      </c>
      <c r="C24" s="388"/>
      <c r="D24" s="388"/>
      <c r="E24" s="388"/>
      <c r="F24" s="388"/>
      <c r="G24" s="388"/>
      <c r="H24" s="65"/>
      <c r="I24" s="102"/>
      <c r="J24" s="65"/>
      <c r="K24" s="65"/>
      <c r="L24" s="65"/>
      <c r="M24" s="72"/>
      <c r="N24" s="65"/>
      <c r="O24" s="65"/>
      <c r="P24" s="65"/>
      <c r="Q24" s="65"/>
      <c r="R24" s="56"/>
      <c r="S24" s="41"/>
      <c r="T24" s="41"/>
      <c r="U24" s="41"/>
      <c r="V24" s="41"/>
      <c r="W24" s="41"/>
      <c r="X24" s="41"/>
      <c r="Y24" s="41"/>
    </row>
    <row r="25" spans="1:25" s="47" customFormat="1" ht="19.5" customHeight="1">
      <c r="A25" s="56"/>
      <c r="B25" s="65"/>
      <c r="C25" s="65"/>
      <c r="D25" s="65"/>
      <c r="E25" s="65"/>
      <c r="F25" s="65"/>
      <c r="G25" s="65"/>
      <c r="H25" s="65"/>
      <c r="I25" s="65"/>
      <c r="J25" s="65"/>
      <c r="K25" s="65"/>
      <c r="L25" s="65"/>
      <c r="M25" s="72"/>
      <c r="N25" s="65"/>
      <c r="O25" s="65"/>
      <c r="P25" s="65"/>
      <c r="Q25" s="65"/>
      <c r="R25" s="56"/>
      <c r="S25" s="41"/>
      <c r="T25" s="41"/>
      <c r="U25" s="41"/>
      <c r="V25" s="41"/>
      <c r="W25" s="41"/>
      <c r="X25" s="41"/>
      <c r="Y25" s="41"/>
    </row>
    <row r="26" spans="1:25" s="47" customFormat="1" ht="19.5" customHeight="1">
      <c r="A26" s="56"/>
      <c r="B26" s="65"/>
      <c r="C26" s="65"/>
      <c r="D26" s="65"/>
      <c r="E26" s="65"/>
      <c r="F26" s="65"/>
      <c r="G26" s="304" t="s">
        <v>373</v>
      </c>
      <c r="H26" s="304"/>
      <c r="I26" s="304"/>
      <c r="J26" s="304"/>
      <c r="K26" s="304"/>
      <c r="L26" s="304"/>
      <c r="M26" s="380" t="s">
        <v>18</v>
      </c>
      <c r="N26" s="342">
        <f>IF(N16="",0,(N10*365*N15*N12)/(N16*N17))</f>
        <v>0</v>
      </c>
      <c r="O26" s="342"/>
      <c r="P26" s="342"/>
      <c r="Q26" s="342"/>
      <c r="R26" s="305" t="s">
        <v>29</v>
      </c>
      <c r="S26" s="41"/>
      <c r="T26" s="41"/>
      <c r="U26" s="41"/>
      <c r="V26" s="41"/>
      <c r="W26" s="41"/>
      <c r="X26" s="41"/>
      <c r="Y26" s="41"/>
    </row>
    <row r="27" spans="1:25" s="47" customFormat="1" ht="19.5" customHeight="1">
      <c r="A27" s="56"/>
      <c r="B27" s="65"/>
      <c r="C27" s="65"/>
      <c r="D27" s="65"/>
      <c r="E27" s="65"/>
      <c r="F27" s="65"/>
      <c r="G27" s="308" t="s">
        <v>326</v>
      </c>
      <c r="H27" s="308"/>
      <c r="I27" s="308"/>
      <c r="J27" s="308"/>
      <c r="K27" s="308"/>
      <c r="L27" s="308"/>
      <c r="M27" s="381"/>
      <c r="N27" s="342"/>
      <c r="O27" s="342"/>
      <c r="P27" s="342"/>
      <c r="Q27" s="342"/>
      <c r="R27" s="305"/>
      <c r="S27" s="41"/>
      <c r="T27" s="41"/>
      <c r="U27" s="41"/>
      <c r="V27" s="41"/>
      <c r="W27" s="41"/>
      <c r="X27" s="41"/>
      <c r="Y27" s="41"/>
    </row>
    <row r="28" spans="1:25" s="51" customFormat="1" ht="4.5" customHeight="1" thickBot="1">
      <c r="A28" s="61"/>
      <c r="B28" s="106"/>
      <c r="C28" s="106"/>
      <c r="D28" s="106"/>
      <c r="E28" s="106"/>
      <c r="F28" s="106"/>
      <c r="G28" s="106"/>
      <c r="H28" s="106"/>
      <c r="I28" s="123"/>
      <c r="J28" s="106"/>
      <c r="K28" s="106"/>
      <c r="L28" s="106"/>
      <c r="M28" s="106"/>
      <c r="N28" s="106"/>
      <c r="O28" s="106"/>
      <c r="P28" s="106"/>
      <c r="Q28" s="106"/>
      <c r="R28" s="61"/>
      <c r="S28" s="63"/>
      <c r="T28" s="63"/>
      <c r="U28" s="63"/>
      <c r="V28" s="63"/>
      <c r="W28" s="63"/>
      <c r="X28" s="63"/>
      <c r="Y28" s="63"/>
    </row>
    <row r="29" spans="1:25" s="40" customFormat="1" ht="4.5" customHeight="1" thickTop="1">
      <c r="A29" s="56"/>
      <c r="B29" s="65"/>
      <c r="C29" s="65"/>
      <c r="D29" s="65"/>
      <c r="E29" s="65"/>
      <c r="F29" s="65"/>
      <c r="G29" s="65"/>
      <c r="H29" s="65"/>
      <c r="I29" s="102"/>
      <c r="J29" s="65"/>
      <c r="K29" s="65"/>
      <c r="L29" s="65"/>
      <c r="M29" s="65"/>
      <c r="N29" s="65"/>
      <c r="O29" s="65"/>
      <c r="P29" s="65"/>
      <c r="Q29" s="65"/>
      <c r="R29" s="56"/>
      <c r="S29" s="4"/>
      <c r="T29" s="4"/>
      <c r="U29" s="4"/>
      <c r="V29" s="4"/>
      <c r="W29" s="4"/>
      <c r="X29" s="4"/>
      <c r="Y29" s="4"/>
    </row>
    <row r="30" spans="1:25" s="47" customFormat="1" ht="19.5" customHeight="1">
      <c r="A30" s="58">
        <v>5</v>
      </c>
      <c r="B30" s="322" t="s">
        <v>351</v>
      </c>
      <c r="C30" s="322"/>
      <c r="D30" s="322"/>
      <c r="E30" s="322"/>
      <c r="F30" s="322"/>
      <c r="G30" s="322"/>
      <c r="H30" s="65"/>
      <c r="I30" s="65"/>
      <c r="J30" s="65"/>
      <c r="K30" s="65"/>
      <c r="L30" s="65"/>
      <c r="M30" s="74" t="s">
        <v>327</v>
      </c>
      <c r="N30" s="342">
        <f>N21-N26</f>
        <v>0</v>
      </c>
      <c r="O30" s="342"/>
      <c r="P30" s="342"/>
      <c r="Q30" s="342"/>
      <c r="R30" s="58" t="s">
        <v>31</v>
      </c>
      <c r="S30" s="41"/>
      <c r="T30" s="41"/>
      <c r="U30" s="41"/>
      <c r="V30" s="41"/>
      <c r="W30" s="41"/>
      <c r="X30" s="41"/>
      <c r="Y30" s="41"/>
    </row>
    <row r="31" spans="1:25" s="51" customFormat="1" ht="3.75" customHeight="1" thickBot="1">
      <c r="A31" s="61"/>
      <c r="B31" s="106"/>
      <c r="C31" s="106"/>
      <c r="D31" s="106"/>
      <c r="E31" s="106"/>
      <c r="F31" s="106"/>
      <c r="G31" s="106"/>
      <c r="H31" s="106"/>
      <c r="I31" s="106"/>
      <c r="J31" s="106"/>
      <c r="K31" s="106"/>
      <c r="L31" s="106"/>
      <c r="M31" s="106"/>
      <c r="N31" s="106"/>
      <c r="O31" s="106"/>
      <c r="P31" s="106"/>
      <c r="Q31" s="106"/>
      <c r="R31" s="61"/>
      <c r="S31" s="63"/>
      <c r="T31" s="63"/>
      <c r="U31" s="63"/>
      <c r="V31" s="63"/>
      <c r="W31" s="63"/>
      <c r="X31" s="63"/>
      <c r="Y31" s="63"/>
    </row>
    <row r="32" spans="1:25" s="40" customFormat="1" ht="4.5" customHeight="1" thickTop="1">
      <c r="A32" s="56"/>
      <c r="B32" s="65"/>
      <c r="C32" s="65"/>
      <c r="D32" s="65"/>
      <c r="E32" s="65"/>
      <c r="F32" s="65"/>
      <c r="G32" s="65"/>
      <c r="H32" s="65"/>
      <c r="I32" s="65"/>
      <c r="J32" s="65"/>
      <c r="K32" s="65"/>
      <c r="L32" s="65"/>
      <c r="M32" s="65"/>
      <c r="N32" s="65"/>
      <c r="O32" s="65"/>
      <c r="P32" s="65"/>
      <c r="Q32" s="65"/>
      <c r="R32" s="56"/>
      <c r="S32" s="4"/>
      <c r="T32" s="4"/>
      <c r="U32" s="4"/>
      <c r="V32" s="4"/>
      <c r="W32" s="4"/>
      <c r="X32" s="4"/>
      <c r="Y32" s="4"/>
    </row>
    <row r="33" spans="1:25" s="47" customFormat="1" ht="19.5" customHeight="1">
      <c r="A33" s="58">
        <v>6</v>
      </c>
      <c r="B33" s="322" t="s">
        <v>234</v>
      </c>
      <c r="C33" s="322"/>
      <c r="D33" s="322"/>
      <c r="E33" s="322"/>
      <c r="F33" s="322"/>
      <c r="G33" s="65"/>
      <c r="H33" s="72" t="s">
        <v>377</v>
      </c>
      <c r="I33" s="104">
        <f>H41</f>
        <v>14.52187909384241</v>
      </c>
      <c r="J33" s="65"/>
      <c r="K33" s="65"/>
      <c r="L33" s="65"/>
      <c r="M33" s="74" t="s">
        <v>440</v>
      </c>
      <c r="N33" s="342">
        <f>N30*I33</f>
        <v>0</v>
      </c>
      <c r="O33" s="342"/>
      <c r="P33" s="342"/>
      <c r="Q33" s="342"/>
      <c r="R33" s="58" t="s">
        <v>235</v>
      </c>
      <c r="S33" s="41"/>
      <c r="T33" s="41"/>
      <c r="U33" s="41"/>
      <c r="V33" s="41"/>
      <c r="W33" s="41"/>
      <c r="X33" s="41"/>
      <c r="Y33" s="41"/>
    </row>
    <row r="34" spans="1:25" s="47" customFormat="1" ht="19.5" customHeight="1">
      <c r="A34" s="56"/>
      <c r="B34" s="65" t="s">
        <v>328</v>
      </c>
      <c r="C34" s="60"/>
      <c r="D34" s="65"/>
      <c r="E34" s="65"/>
      <c r="F34" s="65"/>
      <c r="G34" s="65"/>
      <c r="H34" s="65"/>
      <c r="I34" s="65"/>
      <c r="J34" s="65"/>
      <c r="K34" s="65"/>
      <c r="L34" s="65"/>
      <c r="M34" s="65"/>
      <c r="N34" s="65"/>
      <c r="O34" s="65"/>
      <c r="P34" s="65"/>
      <c r="Q34" s="72"/>
      <c r="R34" s="59"/>
      <c r="S34" s="41"/>
      <c r="T34" s="41"/>
      <c r="U34" s="41"/>
      <c r="V34" s="41"/>
      <c r="W34" s="41"/>
      <c r="X34" s="41"/>
      <c r="Y34" s="41"/>
    </row>
    <row r="35" spans="1:25" s="47" customFormat="1" ht="15" customHeight="1">
      <c r="A35" s="36"/>
      <c r="B35" s="3"/>
      <c r="C35" s="3"/>
      <c r="D35" s="3"/>
      <c r="E35" s="3"/>
      <c r="F35" s="3"/>
      <c r="G35" s="3"/>
      <c r="H35" s="3"/>
      <c r="I35" s="3"/>
      <c r="J35" s="3"/>
      <c r="K35" s="3"/>
      <c r="L35" s="3"/>
      <c r="M35" s="3"/>
      <c r="N35" s="3"/>
      <c r="O35" s="3"/>
      <c r="P35" s="3"/>
      <c r="Q35" s="3"/>
      <c r="R35" s="36"/>
      <c r="S35" s="41"/>
      <c r="T35" s="41"/>
      <c r="U35" s="41"/>
      <c r="V35" s="41"/>
      <c r="W35" s="41"/>
      <c r="X35" s="41"/>
      <c r="Y35" s="41"/>
    </row>
    <row r="36" spans="1:25" s="47" customFormat="1" ht="15" customHeight="1">
      <c r="A36" s="36"/>
      <c r="B36" s="3"/>
      <c r="C36" s="3"/>
      <c r="D36" s="3"/>
      <c r="E36" s="3"/>
      <c r="F36" s="3"/>
      <c r="G36" s="3"/>
      <c r="H36" s="3"/>
      <c r="I36" s="3"/>
      <c r="J36" s="3"/>
      <c r="K36" s="3"/>
      <c r="L36" s="3"/>
      <c r="M36" s="3"/>
      <c r="N36" s="3"/>
      <c r="O36" s="3"/>
      <c r="P36" s="3"/>
      <c r="Q36" s="3"/>
      <c r="R36" s="36"/>
      <c r="S36" s="41"/>
      <c r="T36" s="41"/>
      <c r="U36" s="41"/>
      <c r="V36" s="41"/>
      <c r="W36" s="41"/>
      <c r="X36" s="41"/>
      <c r="Y36" s="41"/>
    </row>
    <row r="37" spans="1:25" s="47" customFormat="1" ht="15" customHeight="1">
      <c r="A37" s="36"/>
      <c r="B37" s="3"/>
      <c r="C37" s="3"/>
      <c r="D37" s="3"/>
      <c r="E37" s="3"/>
      <c r="F37" s="3"/>
      <c r="G37" s="3"/>
      <c r="H37" s="3"/>
      <c r="I37" s="3"/>
      <c r="J37" s="3"/>
      <c r="K37" s="3"/>
      <c r="L37" s="3"/>
      <c r="M37" s="3"/>
      <c r="N37" s="52"/>
      <c r="O37" s="3"/>
      <c r="P37" s="3"/>
      <c r="Q37" s="3"/>
      <c r="R37" s="36"/>
      <c r="S37" s="41"/>
      <c r="T37" s="41"/>
      <c r="U37" s="41"/>
      <c r="V37" s="41"/>
      <c r="W37" s="41"/>
      <c r="X37" s="41"/>
      <c r="Y37" s="41"/>
    </row>
    <row r="38" spans="1:25" s="47" customFormat="1" ht="15" customHeight="1">
      <c r="A38" s="36"/>
      <c r="B38" s="3"/>
      <c r="C38" s="3"/>
      <c r="D38" s="3"/>
      <c r="E38" s="3"/>
      <c r="F38" s="3"/>
      <c r="G38" s="3"/>
      <c r="H38" s="3"/>
      <c r="I38" s="3"/>
      <c r="J38" s="3"/>
      <c r="K38" s="3"/>
      <c r="L38" s="3"/>
      <c r="M38" s="3"/>
      <c r="N38" s="52"/>
      <c r="O38" s="3"/>
      <c r="P38" s="3"/>
      <c r="Q38" s="3"/>
      <c r="R38" s="36"/>
      <c r="S38" s="41"/>
      <c r="T38" s="41"/>
      <c r="U38" s="41"/>
      <c r="V38" s="41"/>
      <c r="W38" s="41"/>
      <c r="X38" s="41"/>
      <c r="Y38" s="41"/>
    </row>
    <row r="39" spans="1:25" s="47" customFormat="1" ht="15" customHeight="1">
      <c r="A39" s="36"/>
      <c r="B39" s="3"/>
      <c r="C39" s="3"/>
      <c r="D39" s="3"/>
      <c r="E39" s="3"/>
      <c r="F39" s="3"/>
      <c r="G39" s="3"/>
      <c r="H39" s="3"/>
      <c r="I39" s="3"/>
      <c r="J39" s="3"/>
      <c r="K39" s="3"/>
      <c r="L39" s="3"/>
      <c r="M39" s="3"/>
      <c r="N39" s="52"/>
      <c r="O39" s="3"/>
      <c r="P39" s="3"/>
      <c r="Q39" s="3"/>
      <c r="R39" s="36"/>
      <c r="S39" s="41"/>
      <c r="T39" s="41"/>
      <c r="U39" s="41"/>
      <c r="V39" s="41"/>
      <c r="W39" s="41"/>
      <c r="X39" s="41"/>
      <c r="Y39" s="41"/>
    </row>
    <row r="40" spans="1:25" s="47" customFormat="1" ht="15" customHeight="1">
      <c r="A40" s="36"/>
      <c r="B40" s="3"/>
      <c r="C40" s="3"/>
      <c r="D40" s="3"/>
      <c r="E40" s="3"/>
      <c r="F40" s="3"/>
      <c r="G40" s="3"/>
      <c r="H40" s="3"/>
      <c r="I40" s="3"/>
      <c r="J40" s="3"/>
      <c r="K40" s="3"/>
      <c r="L40" s="3"/>
      <c r="M40" s="3"/>
      <c r="N40" s="3"/>
      <c r="O40" s="103"/>
      <c r="P40" s="103"/>
      <c r="Q40" s="103"/>
      <c r="R40" s="36"/>
      <c r="S40" s="41"/>
      <c r="T40" s="41"/>
      <c r="U40" s="41"/>
      <c r="V40" s="41"/>
      <c r="W40" s="41"/>
      <c r="X40" s="41"/>
      <c r="Y40" s="41"/>
    </row>
    <row r="41" spans="1:25" s="47" customFormat="1" ht="15" hidden="1" customHeight="1">
      <c r="A41" s="36"/>
      <c r="B41" s="3"/>
      <c r="C41" s="3"/>
      <c r="D41" s="108">
        <v>0.97142327541941853</v>
      </c>
      <c r="E41" s="108">
        <v>15.493302369261828</v>
      </c>
      <c r="F41" s="108">
        <v>0.4809949234794999</v>
      </c>
      <c r="G41" s="108">
        <v>199.15277691889258</v>
      </c>
      <c r="H41" s="368">
        <f>E41-D41+J41*(G41-F41)</f>
        <v>14.52187909384241</v>
      </c>
      <c r="I41" s="368"/>
      <c r="J41" s="126">
        <f>N11</f>
        <v>0</v>
      </c>
      <c r="K41" s="3"/>
      <c r="L41" s="3"/>
      <c r="M41" s="3"/>
      <c r="N41" s="3"/>
      <c r="O41" s="103"/>
      <c r="P41" s="103"/>
      <c r="Q41" s="103"/>
      <c r="R41" s="36"/>
      <c r="S41" s="41"/>
      <c r="T41" s="41"/>
      <c r="U41" s="41"/>
      <c r="V41" s="41"/>
      <c r="W41" s="41"/>
      <c r="X41" s="41"/>
      <c r="Y41" s="41"/>
    </row>
    <row r="42" spans="1:25" s="38" customFormat="1">
      <c r="A42" s="41"/>
      <c r="B42" s="41"/>
      <c r="C42" s="41"/>
      <c r="D42" s="41"/>
      <c r="E42" s="41"/>
      <c r="F42" s="41"/>
      <c r="G42" s="41"/>
      <c r="H42" s="41"/>
      <c r="I42" s="41"/>
      <c r="J42" s="41"/>
      <c r="K42" s="41"/>
      <c r="L42" s="41"/>
      <c r="M42" s="41"/>
      <c r="N42" s="41"/>
      <c r="O42" s="41"/>
      <c r="P42" s="41"/>
      <c r="Q42" s="41"/>
      <c r="R42" s="54"/>
      <c r="S42" s="41"/>
      <c r="T42" s="41"/>
      <c r="U42" s="41"/>
      <c r="V42" s="41"/>
      <c r="W42" s="41"/>
      <c r="X42" s="41"/>
      <c r="Y42" s="41"/>
    </row>
    <row r="43" spans="1:25" s="38" customFormat="1">
      <c r="A43" s="41"/>
      <c r="B43" s="41"/>
      <c r="C43" s="41"/>
      <c r="D43" s="41"/>
      <c r="E43" s="41"/>
      <c r="F43" s="41"/>
      <c r="G43" s="41"/>
      <c r="H43" s="41"/>
      <c r="I43" s="41"/>
      <c r="J43" s="41"/>
      <c r="K43" s="41"/>
      <c r="L43" s="41"/>
      <c r="M43" s="41"/>
      <c r="N43" s="41"/>
      <c r="O43" s="41"/>
      <c r="P43" s="41"/>
      <c r="Q43" s="41"/>
      <c r="R43" s="54"/>
      <c r="S43" s="41"/>
      <c r="T43" s="41"/>
      <c r="U43" s="41"/>
      <c r="V43" s="41"/>
      <c r="W43" s="41"/>
      <c r="X43" s="41"/>
      <c r="Y43" s="41"/>
    </row>
    <row r="44" spans="1:25" s="38" customFormat="1">
      <c r="A44" s="41"/>
      <c r="B44" s="41"/>
      <c r="C44" s="41"/>
      <c r="D44" s="41"/>
      <c r="E44" s="41"/>
      <c r="F44" s="41"/>
      <c r="G44" s="41"/>
      <c r="H44" s="41"/>
      <c r="I44" s="41"/>
      <c r="J44" s="41"/>
      <c r="K44" s="41"/>
      <c r="L44" s="41"/>
      <c r="M44" s="41"/>
      <c r="N44" s="41"/>
      <c r="O44" s="41"/>
      <c r="P44" s="41"/>
      <c r="Q44" s="41"/>
      <c r="R44" s="54"/>
      <c r="S44" s="41"/>
      <c r="T44" s="41"/>
      <c r="U44" s="41"/>
      <c r="V44" s="41"/>
      <c r="W44" s="41"/>
      <c r="X44" s="41"/>
      <c r="Y44" s="41"/>
    </row>
    <row r="45" spans="1:25" s="38" customFormat="1" hidden="1">
      <c r="A45" s="41"/>
      <c r="B45" s="41"/>
      <c r="C45" s="41"/>
      <c r="D45" s="41"/>
      <c r="E45" s="41"/>
      <c r="F45" s="41"/>
      <c r="G45" s="41"/>
      <c r="H45" s="41"/>
      <c r="I45" s="41"/>
      <c r="J45" s="41"/>
      <c r="K45" s="41"/>
      <c r="L45" s="41"/>
      <c r="M45" s="41"/>
      <c r="N45" s="41"/>
      <c r="O45" s="41"/>
      <c r="P45" s="41"/>
      <c r="Q45" s="41"/>
      <c r="R45" s="54"/>
      <c r="S45" s="41"/>
      <c r="T45" s="41"/>
      <c r="U45" s="41"/>
      <c r="V45" s="41"/>
      <c r="W45" s="41"/>
      <c r="X45" s="41"/>
      <c r="Y45" s="41"/>
    </row>
    <row r="46" spans="1:25" s="38" customFormat="1" hidden="1">
      <c r="A46" s="4" t="s">
        <v>236</v>
      </c>
      <c r="B46" s="41"/>
      <c r="C46" s="41"/>
      <c r="D46" s="41"/>
      <c r="E46" s="41"/>
      <c r="F46" s="41"/>
      <c r="G46" s="41"/>
      <c r="H46" s="41"/>
      <c r="I46" s="41"/>
      <c r="J46" s="41"/>
      <c r="K46" s="384"/>
      <c r="L46" s="384"/>
      <c r="M46" s="384"/>
      <c r="N46" s="385"/>
      <c r="O46" s="384"/>
      <c r="P46" s="384"/>
      <c r="Q46" s="384"/>
      <c r="R46" s="384"/>
      <c r="S46" s="41"/>
      <c r="T46" s="41"/>
      <c r="U46" s="41"/>
      <c r="V46" s="41"/>
      <c r="W46" s="41"/>
      <c r="X46" s="41"/>
      <c r="Y46" s="41"/>
    </row>
    <row r="47" spans="1:25" s="38" customFormat="1" hidden="1">
      <c r="A47" s="41" t="s">
        <v>237</v>
      </c>
      <c r="B47" s="41"/>
      <c r="C47" s="41"/>
      <c r="D47" s="41"/>
      <c r="E47" s="41"/>
      <c r="F47" s="41"/>
      <c r="G47" s="41"/>
      <c r="H47" s="41"/>
      <c r="I47" s="41"/>
      <c r="J47" s="41"/>
      <c r="K47" s="41"/>
      <c r="L47" s="41"/>
      <c r="M47" s="41"/>
      <c r="N47" s="41"/>
      <c r="O47" s="41"/>
      <c r="P47" s="41"/>
      <c r="Q47" s="41"/>
      <c r="R47" s="54"/>
      <c r="S47" s="41"/>
      <c r="T47" s="41"/>
      <c r="U47" s="41"/>
      <c r="V47" s="41"/>
      <c r="W47" s="41"/>
      <c r="X47" s="41"/>
      <c r="Y47" s="41"/>
    </row>
    <row r="48" spans="1:25" s="38" customFormat="1" hidden="1">
      <c r="A48" s="41" t="s">
        <v>238</v>
      </c>
      <c r="B48" s="41"/>
      <c r="C48" s="41"/>
      <c r="D48" s="41"/>
      <c r="E48" s="41"/>
      <c r="F48" s="41"/>
      <c r="G48" s="41"/>
      <c r="H48" s="41"/>
      <c r="I48" s="41"/>
      <c r="J48" s="41"/>
      <c r="K48" s="41"/>
      <c r="L48" s="41"/>
      <c r="M48" s="41"/>
      <c r="N48" s="41"/>
      <c r="O48" s="41"/>
      <c r="P48" s="41"/>
      <c r="Q48" s="41"/>
      <c r="R48" s="54"/>
      <c r="S48" s="41"/>
      <c r="T48" s="41"/>
      <c r="U48" s="41"/>
      <c r="V48" s="41"/>
      <c r="W48" s="41"/>
      <c r="X48" s="41"/>
      <c r="Y48" s="41"/>
    </row>
    <row r="49" spans="1:25" s="38" customFormat="1" hidden="1">
      <c r="A49" s="41" t="s">
        <v>239</v>
      </c>
      <c r="B49" s="41"/>
      <c r="C49" s="41"/>
      <c r="D49" s="41"/>
      <c r="E49" s="41"/>
      <c r="F49" s="41"/>
      <c r="G49" s="41"/>
      <c r="H49" s="41"/>
      <c r="I49" s="41"/>
      <c r="J49" s="41"/>
      <c r="K49" s="41"/>
      <c r="L49" s="41"/>
      <c r="M49" s="41"/>
      <c r="N49" s="41"/>
      <c r="O49" s="41"/>
      <c r="P49" s="41"/>
      <c r="Q49" s="41"/>
      <c r="R49" s="54"/>
      <c r="S49" s="41"/>
      <c r="T49" s="41"/>
      <c r="U49" s="41"/>
      <c r="V49" s="41"/>
      <c r="W49" s="41"/>
      <c r="X49" s="41"/>
      <c r="Y49" s="41"/>
    </row>
    <row r="50" spans="1:25">
      <c r="A50" s="90"/>
      <c r="B50" s="90"/>
      <c r="C50" s="90"/>
      <c r="D50" s="90"/>
      <c r="E50" s="90"/>
      <c r="F50" s="90"/>
      <c r="G50" s="90"/>
      <c r="H50" s="90"/>
      <c r="I50" s="90"/>
      <c r="J50" s="90"/>
      <c r="K50" s="90"/>
      <c r="L50" s="90"/>
      <c r="M50" s="90"/>
      <c r="N50" s="90"/>
      <c r="O50" s="90"/>
      <c r="P50" s="90"/>
      <c r="Q50" s="90"/>
      <c r="R50" s="79"/>
      <c r="S50" s="90"/>
      <c r="T50" s="90"/>
      <c r="U50" s="90"/>
      <c r="V50" s="90"/>
      <c r="W50" s="90"/>
      <c r="X50" s="90"/>
      <c r="Y50" s="90"/>
    </row>
    <row r="51" spans="1:25">
      <c r="A51" s="90"/>
      <c r="B51" s="90"/>
      <c r="C51" s="90"/>
      <c r="D51" s="90"/>
      <c r="E51" s="90"/>
      <c r="F51" s="90"/>
      <c r="G51" s="90"/>
      <c r="H51" s="90"/>
      <c r="I51" s="90"/>
      <c r="J51" s="90"/>
      <c r="K51" s="90"/>
      <c r="L51" s="90"/>
      <c r="M51" s="90"/>
      <c r="N51" s="90"/>
      <c r="O51" s="90"/>
      <c r="P51" s="90"/>
      <c r="Q51" s="90"/>
      <c r="R51" s="79"/>
      <c r="S51" s="90"/>
      <c r="T51" s="90"/>
      <c r="U51" s="90"/>
      <c r="V51" s="90"/>
      <c r="W51" s="90"/>
      <c r="X51" s="90"/>
      <c r="Y51" s="90"/>
    </row>
    <row r="52" spans="1:25">
      <c r="A52" s="90"/>
      <c r="B52" s="90"/>
      <c r="C52" s="90"/>
      <c r="D52" s="90"/>
      <c r="E52" s="90"/>
      <c r="F52" s="90"/>
      <c r="G52" s="90"/>
      <c r="H52" s="90"/>
      <c r="I52" s="90"/>
      <c r="J52" s="90"/>
      <c r="K52" s="90"/>
      <c r="L52" s="90"/>
      <c r="M52" s="90"/>
      <c r="N52" s="90"/>
      <c r="O52" s="90"/>
      <c r="P52" s="90"/>
      <c r="Q52" s="90"/>
      <c r="R52" s="79"/>
      <c r="S52" s="90"/>
      <c r="T52" s="90"/>
      <c r="U52" s="90"/>
      <c r="V52" s="90"/>
      <c r="W52" s="90"/>
      <c r="X52" s="90"/>
      <c r="Y52" s="90"/>
    </row>
    <row r="53" spans="1:25">
      <c r="A53" s="90"/>
      <c r="B53" s="90"/>
      <c r="C53" s="90"/>
      <c r="D53" s="90"/>
      <c r="E53" s="90"/>
      <c r="F53" s="90"/>
      <c r="G53" s="90"/>
      <c r="H53" s="90"/>
      <c r="I53" s="90"/>
      <c r="J53" s="90"/>
      <c r="K53" s="90"/>
      <c r="L53" s="90"/>
      <c r="M53" s="90"/>
      <c r="N53" s="90"/>
      <c r="O53" s="90"/>
      <c r="P53" s="90"/>
      <c r="Q53" s="90"/>
      <c r="R53" s="79"/>
      <c r="S53" s="90"/>
      <c r="T53" s="90"/>
      <c r="U53" s="90"/>
      <c r="V53" s="90"/>
      <c r="W53" s="90"/>
      <c r="X53" s="90"/>
      <c r="Y53" s="90"/>
    </row>
    <row r="54" spans="1:25">
      <c r="A54" s="90"/>
      <c r="B54" s="90"/>
      <c r="C54" s="90"/>
      <c r="D54" s="90"/>
      <c r="E54" s="90"/>
      <c r="F54" s="90"/>
      <c r="G54" s="90"/>
      <c r="H54" s="90"/>
      <c r="I54" s="90"/>
      <c r="J54" s="90"/>
      <c r="K54" s="90"/>
      <c r="L54" s="90"/>
      <c r="M54" s="90"/>
      <c r="N54" s="90"/>
      <c r="O54" s="90"/>
      <c r="P54" s="90"/>
      <c r="Q54" s="90"/>
      <c r="R54" s="79"/>
      <c r="S54" s="90"/>
      <c r="T54" s="90"/>
      <c r="U54" s="90"/>
      <c r="V54" s="90"/>
      <c r="W54" s="90"/>
      <c r="X54" s="90"/>
      <c r="Y54" s="90"/>
    </row>
    <row r="55" spans="1:25">
      <c r="A55" s="90"/>
      <c r="B55" s="90"/>
      <c r="C55" s="90"/>
      <c r="D55" s="90"/>
      <c r="E55" s="90"/>
      <c r="F55" s="90"/>
      <c r="G55" s="90"/>
      <c r="H55" s="90"/>
      <c r="I55" s="90"/>
      <c r="J55" s="90"/>
      <c r="K55" s="90"/>
      <c r="L55" s="90"/>
      <c r="M55" s="90"/>
      <c r="N55" s="90"/>
      <c r="O55" s="90"/>
      <c r="P55" s="90"/>
      <c r="Q55" s="90"/>
      <c r="R55" s="79"/>
      <c r="S55" s="90"/>
      <c r="T55" s="90"/>
      <c r="U55" s="90"/>
      <c r="V55" s="90"/>
      <c r="W55" s="90"/>
      <c r="X55" s="90"/>
      <c r="Y55" s="90"/>
    </row>
    <row r="56" spans="1:25">
      <c r="A56" s="90"/>
      <c r="B56" s="90"/>
      <c r="C56" s="90"/>
      <c r="D56" s="90"/>
      <c r="E56" s="90"/>
      <c r="F56" s="90"/>
      <c r="G56" s="90"/>
      <c r="H56" s="90"/>
      <c r="I56" s="90"/>
      <c r="J56" s="90"/>
      <c r="K56" s="90"/>
      <c r="L56" s="90"/>
      <c r="M56" s="90"/>
      <c r="N56" s="90"/>
      <c r="O56" s="90"/>
      <c r="P56" s="90"/>
      <c r="Q56" s="90"/>
      <c r="R56" s="79"/>
      <c r="S56" s="90"/>
      <c r="T56" s="90"/>
      <c r="U56" s="90"/>
      <c r="V56" s="90"/>
      <c r="W56" s="90"/>
      <c r="X56" s="90"/>
      <c r="Y56" s="90"/>
    </row>
    <row r="57" spans="1:25">
      <c r="A57" s="90"/>
      <c r="B57" s="90"/>
      <c r="C57" s="90"/>
      <c r="D57" s="90"/>
      <c r="E57" s="90"/>
      <c r="F57" s="90"/>
      <c r="G57" s="90"/>
      <c r="H57" s="90"/>
      <c r="I57" s="90"/>
      <c r="J57" s="90"/>
      <c r="K57" s="90"/>
      <c r="L57" s="90"/>
      <c r="M57" s="90"/>
      <c r="N57" s="90"/>
      <c r="O57" s="90"/>
      <c r="P57" s="90"/>
      <c r="Q57" s="90"/>
      <c r="R57" s="79"/>
      <c r="S57" s="90"/>
      <c r="T57" s="90"/>
      <c r="U57" s="90"/>
      <c r="V57" s="90"/>
      <c r="W57" s="90"/>
      <c r="X57" s="90"/>
      <c r="Y57" s="90"/>
    </row>
    <row r="58" spans="1:25">
      <c r="A58" s="90"/>
      <c r="B58" s="90"/>
      <c r="C58" s="90"/>
      <c r="D58" s="90"/>
      <c r="E58" s="90"/>
      <c r="F58" s="90"/>
      <c r="G58" s="90"/>
      <c r="H58" s="90"/>
      <c r="I58" s="90"/>
      <c r="J58" s="90"/>
      <c r="K58" s="90"/>
      <c r="L58" s="90"/>
      <c r="M58" s="90"/>
      <c r="N58" s="90"/>
      <c r="O58" s="90"/>
      <c r="P58" s="90"/>
      <c r="Q58" s="90"/>
      <c r="R58" s="79"/>
      <c r="S58" s="90"/>
      <c r="T58" s="90"/>
      <c r="U58" s="90"/>
      <c r="V58" s="90"/>
      <c r="W58" s="90"/>
      <c r="X58" s="90"/>
      <c r="Y58" s="90"/>
    </row>
    <row r="59" spans="1:25">
      <c r="A59" s="90"/>
      <c r="B59" s="90"/>
      <c r="C59" s="90"/>
      <c r="D59" s="90"/>
      <c r="E59" s="90"/>
      <c r="F59" s="90"/>
      <c r="G59" s="90"/>
      <c r="H59" s="90"/>
      <c r="I59" s="90"/>
      <c r="J59" s="90"/>
      <c r="K59" s="90"/>
      <c r="L59" s="90"/>
      <c r="M59" s="90"/>
      <c r="N59" s="90"/>
      <c r="O59" s="90"/>
      <c r="P59" s="90"/>
      <c r="Q59" s="90"/>
      <c r="R59" s="79"/>
      <c r="S59" s="90"/>
      <c r="T59" s="90"/>
      <c r="U59" s="90"/>
      <c r="V59" s="90"/>
      <c r="W59" s="90"/>
      <c r="X59" s="90"/>
      <c r="Y59" s="90"/>
    </row>
    <row r="60" spans="1:25">
      <c r="A60" s="90"/>
      <c r="B60" s="90"/>
      <c r="C60" s="90"/>
      <c r="D60" s="90"/>
      <c r="E60" s="90"/>
      <c r="F60" s="90"/>
      <c r="G60" s="90"/>
      <c r="H60" s="90"/>
      <c r="I60" s="90"/>
      <c r="J60" s="90"/>
      <c r="K60" s="90"/>
      <c r="L60" s="90"/>
      <c r="M60" s="90"/>
      <c r="N60" s="90"/>
      <c r="O60" s="90"/>
      <c r="P60" s="90"/>
      <c r="Q60" s="90"/>
      <c r="R60" s="79"/>
      <c r="S60" s="90"/>
      <c r="T60" s="90"/>
      <c r="U60" s="90"/>
      <c r="V60" s="90"/>
      <c r="W60" s="90"/>
      <c r="X60" s="90"/>
      <c r="Y60" s="90"/>
    </row>
    <row r="61" spans="1:25">
      <c r="A61" s="90"/>
      <c r="B61" s="90"/>
      <c r="C61" s="90"/>
      <c r="D61" s="90"/>
      <c r="E61" s="90"/>
      <c r="F61" s="90"/>
      <c r="G61" s="90"/>
      <c r="H61" s="90"/>
      <c r="I61" s="90"/>
      <c r="J61" s="90"/>
      <c r="K61" s="90"/>
      <c r="L61" s="90"/>
      <c r="M61" s="90"/>
      <c r="N61" s="90"/>
      <c r="O61" s="90"/>
      <c r="P61" s="90"/>
      <c r="Q61" s="90"/>
      <c r="R61" s="79"/>
      <c r="S61" s="90"/>
      <c r="T61" s="90"/>
      <c r="U61" s="90"/>
      <c r="V61" s="90"/>
      <c r="W61" s="90"/>
      <c r="X61" s="90"/>
      <c r="Y61" s="90"/>
    </row>
    <row r="62" spans="1:25">
      <c r="A62" s="90"/>
      <c r="B62" s="90"/>
      <c r="C62" s="90"/>
      <c r="D62" s="90"/>
      <c r="E62" s="90"/>
      <c r="F62" s="90"/>
      <c r="G62" s="90"/>
      <c r="H62" s="90"/>
      <c r="I62" s="90"/>
      <c r="J62" s="90"/>
      <c r="K62" s="90"/>
      <c r="L62" s="90"/>
      <c r="M62" s="90"/>
      <c r="N62" s="90"/>
      <c r="O62" s="90"/>
      <c r="P62" s="90"/>
      <c r="Q62" s="90"/>
      <c r="R62" s="79"/>
      <c r="S62" s="90"/>
      <c r="T62" s="90"/>
      <c r="U62" s="90"/>
      <c r="V62" s="90"/>
      <c r="W62" s="90"/>
      <c r="X62" s="90"/>
      <c r="Y62" s="90"/>
    </row>
    <row r="63" spans="1:25">
      <c r="A63" s="90"/>
      <c r="B63" s="90"/>
      <c r="C63" s="90"/>
      <c r="D63" s="90"/>
      <c r="E63" s="90"/>
      <c r="F63" s="90"/>
      <c r="G63" s="90"/>
      <c r="H63" s="90"/>
      <c r="I63" s="90"/>
      <c r="J63" s="90"/>
      <c r="K63" s="90"/>
      <c r="L63" s="90"/>
      <c r="M63" s="90"/>
      <c r="N63" s="90"/>
      <c r="O63" s="90"/>
      <c r="P63" s="90"/>
      <c r="Q63" s="90"/>
      <c r="R63" s="79"/>
      <c r="S63" s="90"/>
      <c r="T63" s="90"/>
      <c r="U63" s="90"/>
      <c r="V63" s="90"/>
      <c r="W63" s="90"/>
      <c r="X63" s="90"/>
      <c r="Y63" s="90"/>
    </row>
    <row r="64" spans="1:25">
      <c r="A64" s="90"/>
      <c r="B64" s="90"/>
      <c r="C64" s="90"/>
      <c r="D64" s="90"/>
      <c r="E64" s="90"/>
      <c r="F64" s="90"/>
      <c r="G64" s="90"/>
      <c r="H64" s="90"/>
      <c r="I64" s="90"/>
      <c r="J64" s="90"/>
      <c r="K64" s="90"/>
      <c r="L64" s="90"/>
      <c r="M64" s="90"/>
      <c r="N64" s="90"/>
      <c r="O64" s="90"/>
      <c r="P64" s="90"/>
      <c r="Q64" s="90"/>
      <c r="R64" s="79"/>
      <c r="S64" s="90"/>
      <c r="T64" s="90"/>
      <c r="U64" s="90"/>
      <c r="V64" s="90"/>
      <c r="W64" s="90"/>
      <c r="X64" s="90"/>
      <c r="Y64" s="90"/>
    </row>
    <row r="65" spans="1:25">
      <c r="A65" s="90"/>
      <c r="B65" s="90"/>
      <c r="C65" s="90"/>
      <c r="D65" s="90"/>
      <c r="E65" s="90"/>
      <c r="F65" s="90"/>
      <c r="G65" s="90"/>
      <c r="H65" s="90"/>
      <c r="I65" s="90"/>
      <c r="J65" s="90"/>
      <c r="K65" s="90"/>
      <c r="L65" s="90"/>
      <c r="M65" s="90"/>
      <c r="N65" s="90"/>
      <c r="O65" s="90"/>
      <c r="P65" s="90"/>
      <c r="Q65" s="90"/>
      <c r="R65" s="79"/>
      <c r="S65" s="90"/>
      <c r="T65" s="90"/>
      <c r="U65" s="90"/>
      <c r="V65" s="90"/>
      <c r="W65" s="90"/>
      <c r="X65" s="90"/>
      <c r="Y65" s="90"/>
    </row>
    <row r="66" spans="1:25">
      <c r="A66" s="90"/>
      <c r="B66" s="90"/>
      <c r="C66" s="90"/>
      <c r="D66" s="90"/>
      <c r="E66" s="90"/>
      <c r="F66" s="90"/>
      <c r="G66" s="90"/>
      <c r="H66" s="90"/>
      <c r="I66" s="90"/>
      <c r="J66" s="90"/>
      <c r="K66" s="90"/>
      <c r="L66" s="90"/>
      <c r="M66" s="90"/>
      <c r="N66" s="90"/>
      <c r="O66" s="90"/>
      <c r="P66" s="90"/>
      <c r="Q66" s="90"/>
      <c r="R66" s="79"/>
      <c r="S66" s="90"/>
      <c r="T66" s="90"/>
      <c r="U66" s="90"/>
      <c r="V66" s="90"/>
      <c r="W66" s="90"/>
      <c r="X66" s="90"/>
      <c r="Y66" s="90"/>
    </row>
    <row r="67" spans="1:25">
      <c r="A67" s="90"/>
      <c r="B67" s="90"/>
      <c r="C67" s="90"/>
      <c r="D67" s="90"/>
      <c r="E67" s="90"/>
      <c r="F67" s="90"/>
      <c r="G67" s="90"/>
      <c r="H67" s="90"/>
      <c r="I67" s="90"/>
      <c r="J67" s="90"/>
      <c r="K67" s="90"/>
      <c r="L67" s="90"/>
      <c r="M67" s="90"/>
      <c r="N67" s="90"/>
      <c r="O67" s="90"/>
      <c r="P67" s="90"/>
      <c r="Q67" s="90"/>
      <c r="R67" s="79"/>
      <c r="S67" s="90"/>
      <c r="T67" s="90"/>
      <c r="U67" s="90"/>
      <c r="V67" s="90"/>
      <c r="W67" s="90"/>
      <c r="X67" s="90"/>
      <c r="Y67" s="90"/>
    </row>
    <row r="68" spans="1:25">
      <c r="A68" s="90"/>
      <c r="B68" s="90"/>
      <c r="C68" s="90"/>
      <c r="D68" s="90"/>
      <c r="E68" s="90"/>
      <c r="F68" s="90"/>
      <c r="G68" s="90"/>
      <c r="H68" s="90"/>
      <c r="I68" s="90"/>
      <c r="J68" s="90"/>
      <c r="K68" s="90"/>
      <c r="L68" s="90"/>
      <c r="M68" s="90"/>
      <c r="N68" s="90"/>
      <c r="O68" s="90"/>
      <c r="P68" s="90"/>
      <c r="Q68" s="90"/>
      <c r="R68" s="79"/>
      <c r="S68" s="90"/>
      <c r="T68" s="90"/>
      <c r="U68" s="90"/>
      <c r="V68" s="90"/>
      <c r="W68" s="90"/>
      <c r="X68" s="90"/>
      <c r="Y68" s="90"/>
    </row>
    <row r="69" spans="1:25">
      <c r="A69" s="90"/>
      <c r="B69" s="90"/>
      <c r="C69" s="90"/>
      <c r="D69" s="90"/>
      <c r="E69" s="90"/>
      <c r="F69" s="90"/>
      <c r="G69" s="90"/>
      <c r="H69" s="90"/>
      <c r="I69" s="90"/>
      <c r="J69" s="90"/>
      <c r="K69" s="90"/>
      <c r="L69" s="90"/>
      <c r="M69" s="90"/>
      <c r="N69" s="90"/>
      <c r="O69" s="90"/>
      <c r="P69" s="90"/>
      <c r="Q69" s="90"/>
      <c r="R69" s="79"/>
      <c r="S69" s="90"/>
      <c r="T69" s="90"/>
      <c r="U69" s="90"/>
      <c r="V69" s="90"/>
      <c r="W69" s="90"/>
      <c r="X69" s="90"/>
      <c r="Y69" s="90"/>
    </row>
    <row r="70" spans="1:25">
      <c r="A70" s="90"/>
      <c r="B70" s="90"/>
      <c r="C70" s="90"/>
      <c r="D70" s="90"/>
      <c r="E70" s="90"/>
      <c r="F70" s="90"/>
      <c r="G70" s="90"/>
      <c r="H70" s="90"/>
      <c r="I70" s="90"/>
      <c r="J70" s="90"/>
      <c r="K70" s="90"/>
      <c r="L70" s="90"/>
      <c r="M70" s="90"/>
      <c r="N70" s="90"/>
      <c r="O70" s="90"/>
      <c r="P70" s="90"/>
      <c r="Q70" s="90"/>
      <c r="R70" s="79"/>
      <c r="S70" s="90"/>
      <c r="T70" s="90"/>
      <c r="U70" s="90"/>
      <c r="V70" s="90"/>
      <c r="W70" s="90"/>
      <c r="X70" s="90"/>
      <c r="Y70" s="90"/>
    </row>
    <row r="71" spans="1:25">
      <c r="A71" s="90"/>
      <c r="B71" s="90"/>
      <c r="C71" s="90"/>
      <c r="D71" s="90"/>
      <c r="E71" s="90"/>
      <c r="F71" s="90"/>
      <c r="G71" s="90"/>
      <c r="H71" s="90"/>
      <c r="I71" s="90"/>
      <c r="J71" s="90"/>
      <c r="K71" s="90"/>
      <c r="L71" s="90"/>
      <c r="M71" s="90"/>
      <c r="N71" s="90"/>
      <c r="O71" s="90"/>
      <c r="P71" s="90"/>
      <c r="Q71" s="90"/>
      <c r="R71" s="79"/>
      <c r="S71" s="90"/>
      <c r="T71" s="90"/>
      <c r="U71" s="90"/>
      <c r="V71" s="90"/>
      <c r="W71" s="90"/>
      <c r="X71" s="90"/>
      <c r="Y71" s="90"/>
    </row>
    <row r="72" spans="1:25">
      <c r="A72" s="90"/>
      <c r="B72" s="90"/>
      <c r="C72" s="90"/>
      <c r="D72" s="90"/>
      <c r="E72" s="90"/>
      <c r="F72" s="90"/>
      <c r="G72" s="90"/>
      <c r="H72" s="90"/>
      <c r="I72" s="90"/>
      <c r="J72" s="90"/>
      <c r="K72" s="90"/>
      <c r="L72" s="90"/>
      <c r="M72" s="90"/>
      <c r="N72" s="90"/>
      <c r="O72" s="90"/>
      <c r="P72" s="90"/>
      <c r="Q72" s="90"/>
      <c r="R72" s="79"/>
      <c r="S72" s="90"/>
      <c r="T72" s="90"/>
      <c r="U72" s="90"/>
      <c r="V72" s="90"/>
      <c r="W72" s="90"/>
      <c r="X72" s="90"/>
      <c r="Y72" s="90"/>
    </row>
    <row r="73" spans="1:25">
      <c r="A73" s="90"/>
      <c r="B73" s="90"/>
      <c r="C73" s="90"/>
      <c r="D73" s="90"/>
      <c r="E73" s="90"/>
      <c r="F73" s="90"/>
      <c r="G73" s="90"/>
      <c r="H73" s="90"/>
      <c r="I73" s="90"/>
      <c r="J73" s="90"/>
      <c r="K73" s="90"/>
      <c r="L73" s="90"/>
      <c r="M73" s="90"/>
      <c r="N73" s="90"/>
      <c r="O73" s="90"/>
      <c r="P73" s="90"/>
      <c r="Q73" s="90"/>
      <c r="R73" s="79"/>
      <c r="S73" s="90"/>
      <c r="T73" s="90"/>
      <c r="U73" s="90"/>
      <c r="V73" s="90"/>
      <c r="W73" s="90"/>
      <c r="X73" s="90"/>
      <c r="Y73" s="90"/>
    </row>
    <row r="74" spans="1:25">
      <c r="A74" s="90"/>
      <c r="B74" s="90"/>
      <c r="C74" s="90"/>
      <c r="D74" s="90"/>
      <c r="E74" s="90"/>
      <c r="F74" s="90"/>
      <c r="G74" s="90"/>
      <c r="H74" s="90"/>
      <c r="I74" s="90"/>
      <c r="J74" s="90"/>
      <c r="K74" s="90"/>
      <c r="L74" s="90"/>
      <c r="M74" s="90"/>
      <c r="N74" s="90"/>
      <c r="O74" s="90"/>
      <c r="P74" s="90"/>
      <c r="Q74" s="90"/>
      <c r="R74" s="79"/>
      <c r="S74" s="90"/>
      <c r="T74" s="90"/>
      <c r="U74" s="90"/>
      <c r="V74" s="90"/>
      <c r="W74" s="90"/>
      <c r="X74" s="90"/>
      <c r="Y74" s="90"/>
    </row>
    <row r="75" spans="1:25">
      <c r="A75" s="90"/>
      <c r="B75" s="90"/>
      <c r="C75" s="90"/>
      <c r="D75" s="90"/>
      <c r="E75" s="90"/>
      <c r="F75" s="90"/>
      <c r="G75" s="90"/>
      <c r="H75" s="90"/>
      <c r="I75" s="90"/>
      <c r="J75" s="90"/>
      <c r="K75" s="90"/>
      <c r="L75" s="90"/>
      <c r="M75" s="90"/>
      <c r="N75" s="90"/>
      <c r="O75" s="90"/>
      <c r="P75" s="90"/>
      <c r="Q75" s="90"/>
      <c r="R75" s="79"/>
      <c r="S75" s="90"/>
      <c r="T75" s="90"/>
      <c r="U75" s="90"/>
      <c r="V75" s="90"/>
      <c r="W75" s="90"/>
      <c r="X75" s="90"/>
      <c r="Y75" s="90"/>
    </row>
    <row r="76" spans="1:25">
      <c r="A76" s="90"/>
      <c r="B76" s="90"/>
      <c r="C76" s="90"/>
      <c r="D76" s="90"/>
      <c r="E76" s="90"/>
      <c r="F76" s="90"/>
      <c r="G76" s="90"/>
      <c r="H76" s="90"/>
      <c r="I76" s="90"/>
      <c r="J76" s="90"/>
      <c r="K76" s="90"/>
      <c r="L76" s="90"/>
      <c r="M76" s="90"/>
      <c r="N76" s="90"/>
      <c r="O76" s="90"/>
      <c r="P76" s="90"/>
      <c r="Q76" s="90"/>
      <c r="R76" s="79"/>
      <c r="S76" s="90"/>
      <c r="T76" s="90"/>
      <c r="U76" s="90"/>
      <c r="V76" s="90"/>
      <c r="W76" s="90"/>
      <c r="X76" s="90"/>
      <c r="Y76" s="90"/>
    </row>
    <row r="77" spans="1:25">
      <c r="A77" s="90"/>
      <c r="B77" s="90"/>
      <c r="C77" s="90"/>
      <c r="D77" s="90"/>
      <c r="E77" s="90"/>
      <c r="F77" s="90"/>
      <c r="G77" s="90"/>
      <c r="H77" s="90"/>
      <c r="I77" s="90"/>
      <c r="J77" s="90"/>
      <c r="K77" s="90"/>
      <c r="L77" s="90"/>
      <c r="M77" s="90"/>
      <c r="N77" s="90"/>
      <c r="O77" s="90"/>
      <c r="P77" s="90"/>
      <c r="Q77" s="90"/>
      <c r="R77" s="79"/>
      <c r="S77" s="90"/>
      <c r="T77" s="90"/>
      <c r="U77" s="90"/>
      <c r="V77" s="90"/>
      <c r="W77" s="90"/>
      <c r="X77" s="90"/>
      <c r="Y77" s="90"/>
    </row>
    <row r="78" spans="1:25">
      <c r="A78" s="90"/>
      <c r="B78" s="90"/>
      <c r="C78" s="90"/>
      <c r="D78" s="90"/>
      <c r="E78" s="90"/>
      <c r="F78" s="90"/>
      <c r="G78" s="90"/>
      <c r="H78" s="90"/>
      <c r="I78" s="90"/>
      <c r="J78" s="90"/>
      <c r="K78" s="90"/>
      <c r="L78" s="90"/>
      <c r="M78" s="90"/>
      <c r="N78" s="90"/>
      <c r="O78" s="90"/>
      <c r="P78" s="90"/>
      <c r="Q78" s="90"/>
      <c r="R78" s="79"/>
      <c r="S78" s="90"/>
      <c r="T78" s="90"/>
      <c r="U78" s="90"/>
      <c r="V78" s="90"/>
      <c r="W78" s="90"/>
      <c r="X78" s="90"/>
      <c r="Y78" s="90"/>
    </row>
    <row r="79" spans="1:25">
      <c r="A79" s="90"/>
      <c r="B79" s="90"/>
      <c r="C79" s="90"/>
      <c r="D79" s="90"/>
      <c r="E79" s="90"/>
      <c r="F79" s="90"/>
      <c r="G79" s="90"/>
      <c r="H79" s="90"/>
      <c r="I79" s="90"/>
      <c r="J79" s="90"/>
      <c r="K79" s="90"/>
      <c r="L79" s="90"/>
      <c r="M79" s="90"/>
      <c r="N79" s="90"/>
      <c r="O79" s="90"/>
      <c r="P79" s="90"/>
      <c r="Q79" s="90"/>
      <c r="R79" s="79"/>
      <c r="S79" s="90"/>
      <c r="T79" s="90"/>
      <c r="U79" s="90"/>
      <c r="V79" s="90"/>
      <c r="W79" s="90"/>
      <c r="X79" s="90"/>
      <c r="Y79" s="90"/>
    </row>
    <row r="80" spans="1:25">
      <c r="A80" s="90"/>
      <c r="B80" s="90"/>
      <c r="C80" s="90"/>
      <c r="D80" s="90"/>
      <c r="E80" s="90"/>
      <c r="F80" s="90"/>
      <c r="G80" s="90"/>
      <c r="H80" s="90"/>
      <c r="I80" s="90"/>
      <c r="J80" s="90"/>
      <c r="K80" s="90"/>
      <c r="L80" s="90"/>
      <c r="M80" s="90"/>
      <c r="N80" s="90"/>
      <c r="O80" s="90"/>
      <c r="P80" s="90"/>
      <c r="Q80" s="90"/>
      <c r="R80" s="79"/>
      <c r="S80" s="90"/>
      <c r="T80" s="90"/>
      <c r="U80" s="90"/>
      <c r="V80" s="90"/>
      <c r="W80" s="90"/>
      <c r="X80" s="90"/>
      <c r="Y80" s="90"/>
    </row>
    <row r="81" spans="1:25">
      <c r="A81" s="90"/>
      <c r="B81" s="90"/>
      <c r="C81" s="90"/>
      <c r="D81" s="90"/>
      <c r="E81" s="90"/>
      <c r="F81" s="90"/>
      <c r="G81" s="90"/>
      <c r="H81" s="90"/>
      <c r="I81" s="90"/>
      <c r="J81" s="90"/>
      <c r="K81" s="90"/>
      <c r="L81" s="90"/>
      <c r="M81" s="90"/>
      <c r="N81" s="90"/>
      <c r="O81" s="90"/>
      <c r="P81" s="90"/>
      <c r="Q81" s="90"/>
      <c r="R81" s="79"/>
      <c r="S81" s="90"/>
      <c r="T81" s="90"/>
      <c r="U81" s="90"/>
      <c r="V81" s="90"/>
      <c r="W81" s="90"/>
      <c r="X81" s="90"/>
      <c r="Y81" s="90"/>
    </row>
    <row r="82" spans="1:25">
      <c r="A82" s="90"/>
      <c r="B82" s="90"/>
      <c r="C82" s="90"/>
      <c r="D82" s="90"/>
      <c r="E82" s="90"/>
      <c r="F82" s="90"/>
      <c r="G82" s="90"/>
      <c r="H82" s="90"/>
      <c r="I82" s="90"/>
      <c r="J82" s="90"/>
      <c r="K82" s="90"/>
      <c r="L82" s="90"/>
      <c r="M82" s="90"/>
      <c r="N82" s="90"/>
      <c r="O82" s="90"/>
      <c r="P82" s="90"/>
      <c r="Q82" s="90"/>
      <c r="R82" s="79"/>
      <c r="S82" s="90"/>
      <c r="T82" s="90"/>
      <c r="U82" s="90"/>
      <c r="V82" s="90"/>
      <c r="W82" s="90"/>
      <c r="X82" s="90"/>
      <c r="Y82" s="90"/>
    </row>
  </sheetData>
  <sheetProtection password="C5CB" sheet="1" selectLockedCells="1"/>
  <protectedRanges>
    <protectedRange sqref="E37:F39" name="Range15"/>
    <protectedRange sqref="L37:M39" name="Range14"/>
    <protectedRange sqref="O35:Q35" name="Range13_1"/>
    <protectedRange sqref="F8:J8 E7 C7:D8 M10 M25 R22 R25 N7:O7 I7:J7 R9:R10 K7:M8 Q7:R8 N8:P8 A46" name="Range1"/>
    <protectedRange sqref="R15:R17" name="Range3"/>
    <protectedRange sqref="R19:R21 F22:L22 G27:L27" name="Range5"/>
    <protectedRange sqref="I30" name="Range8_1"/>
    <protectedRange sqref="I31:I32" name="Range9"/>
    <protectedRange sqref="E34:G34" name="Range10"/>
    <protectedRange sqref="P34" name="Range11"/>
    <protectedRange sqref="O35:Q35" name="Range12_1"/>
    <protectedRange sqref="N22 N27" name="Range5_4_1"/>
  </protectedRanges>
  <mergeCells count="42">
    <mergeCell ref="K46:M46"/>
    <mergeCell ref="G21:L21"/>
    <mergeCell ref="M21:M22"/>
    <mergeCell ref="N46:R46"/>
    <mergeCell ref="H15:K15"/>
    <mergeCell ref="G27:L27"/>
    <mergeCell ref="B30:G30"/>
    <mergeCell ref="B33:F33"/>
    <mergeCell ref="N16:Q16"/>
    <mergeCell ref="B24:G24"/>
    <mergeCell ref="L15:M15"/>
    <mergeCell ref="B15:E15"/>
    <mergeCell ref="F15:G15"/>
    <mergeCell ref="N15:Q15"/>
    <mergeCell ref="B4:R4"/>
    <mergeCell ref="G26:L26"/>
    <mergeCell ref="M26:M27"/>
    <mergeCell ref="N26:Q27"/>
    <mergeCell ref="R26:R27"/>
    <mergeCell ref="N17:Q17"/>
    <mergeCell ref="R21:R22"/>
    <mergeCell ref="G22:L22"/>
    <mergeCell ref="N12:Q12"/>
    <mergeCell ref="B7:F7"/>
    <mergeCell ref="B14:E14"/>
    <mergeCell ref="B9:D9"/>
    <mergeCell ref="L14:Q14"/>
    <mergeCell ref="N7:Q7"/>
    <mergeCell ref="G8:J8"/>
    <mergeCell ref="B10:M10"/>
    <mergeCell ref="F14:K14"/>
    <mergeCell ref="N10:Q10"/>
    <mergeCell ref="N11:Q11"/>
    <mergeCell ref="H41:I41"/>
    <mergeCell ref="B16:E16"/>
    <mergeCell ref="F16:G16"/>
    <mergeCell ref="N30:Q30"/>
    <mergeCell ref="N33:Q33"/>
    <mergeCell ref="N21:Q22"/>
    <mergeCell ref="B19:H19"/>
    <mergeCell ref="H16:K16"/>
    <mergeCell ref="L16:M16"/>
  </mergeCells>
  <phoneticPr fontId="8" type="noConversion"/>
  <dataValidations xWindow="132" yWindow="354" count="1">
    <dataValidation type="list" allowBlank="1" showErrorMessage="1" errorTitle="Incorrect input" error="Please click the arrow and select your road type" prompt="Select your road type" sqref="N7">
      <formula1>$A$46:$A$49</formula1>
    </dataValidation>
  </dataValidations>
  <printOptions horizontalCentered="1"/>
  <pageMargins left="0.74803149606299213" right="0.74803149606299213" top="0.98425196850393704" bottom="0.98425196850393704" header="0.51181102362204722" footer="0.51181102362204722"/>
  <pageSetup paperSize="9" scale="95" orientation="portrait" r:id="rId1"/>
  <headerFooter scaleWithDoc="0" alignWithMargins="0">
    <oddHeader>&amp;L&amp;"-,Regular"&amp;8&amp;F&amp;R&amp;"-,Regular"&amp;8&amp;A
______________________________________________________________________________</oddHeader>
    <oddFooter>&amp;L&amp;"-,Regular"&amp;8__________________________________________________________________________________
NZ Transport Agency’s Economic evaluation manual 
Effective from Jul 2013</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Z75"/>
  <sheetViews>
    <sheetView zoomScaleNormal="100" workbookViewId="0">
      <selection activeCell="I20" sqref="I20"/>
    </sheetView>
  </sheetViews>
  <sheetFormatPr defaultColWidth="8.85546875" defaultRowHeight="12.75"/>
  <cols>
    <col min="1" max="1" width="2.85546875" style="2" customWidth="1"/>
    <col min="2" max="2" width="8.42578125" style="5" customWidth="1"/>
    <col min="3" max="3" width="9.7109375" style="5" customWidth="1"/>
    <col min="4" max="4" width="5.7109375" style="5" customWidth="1"/>
    <col min="5" max="5" width="9.7109375" style="5" customWidth="1"/>
    <col min="6" max="6" width="18.28515625" style="5" customWidth="1"/>
    <col min="7" max="7" width="10.7109375" style="5" customWidth="1"/>
    <col min="8" max="8" width="9" style="5" customWidth="1"/>
    <col min="9" max="9" width="11.42578125" style="5" customWidth="1"/>
    <col min="10" max="10" width="4.42578125" style="5" customWidth="1"/>
    <col min="11" max="13" width="9.140625" style="5" customWidth="1"/>
    <col min="14" max="16384" width="8.85546875" style="5"/>
  </cols>
  <sheetData>
    <row r="1" spans="1:26" s="47" customFormat="1" ht="16.5" customHeight="1">
      <c r="B1" s="46"/>
      <c r="C1" s="46"/>
      <c r="D1" s="40"/>
      <c r="E1" s="40"/>
      <c r="F1" s="40"/>
      <c r="G1" s="40"/>
      <c r="H1" s="40"/>
      <c r="I1" s="40"/>
      <c r="J1" s="40"/>
      <c r="K1" s="41" t="s">
        <v>359</v>
      </c>
    </row>
    <row r="2" spans="1:26" s="38" customFormat="1" ht="19.5" customHeight="1">
      <c r="A2" s="82" t="s">
        <v>402</v>
      </c>
      <c r="B2" s="53"/>
      <c r="C2" s="53"/>
      <c r="D2" s="41"/>
      <c r="E2" s="41"/>
      <c r="F2" s="41"/>
      <c r="G2" s="41"/>
      <c r="H2" s="41"/>
      <c r="I2" s="127" t="str">
        <f>'SP11-1'!$L$2</f>
        <v>Spreadsheet v 3 (27-March-14)</v>
      </c>
      <c r="J2" s="41"/>
      <c r="K2" s="139" t="s">
        <v>360</v>
      </c>
      <c r="L2" s="41"/>
      <c r="M2" s="41"/>
      <c r="N2" s="41"/>
      <c r="O2" s="41"/>
      <c r="P2" s="41"/>
      <c r="Q2" s="41"/>
      <c r="R2" s="41"/>
      <c r="S2" s="41"/>
      <c r="T2" s="41"/>
      <c r="U2" s="41"/>
      <c r="V2" s="41"/>
      <c r="W2" s="41"/>
      <c r="X2" s="41"/>
      <c r="Y2" s="41"/>
      <c r="Z2" s="41"/>
    </row>
    <row r="3" spans="1:26" s="47" customFormat="1" ht="12.75" customHeight="1">
      <c r="A3" s="55" t="s">
        <v>310</v>
      </c>
      <c r="B3" s="55"/>
      <c r="C3" s="55"/>
      <c r="D3" s="4"/>
      <c r="E3" s="4"/>
      <c r="F3" s="4"/>
      <c r="G3" s="4"/>
      <c r="H3" s="4"/>
      <c r="I3" s="4"/>
      <c r="J3" s="4"/>
      <c r="K3" s="41"/>
      <c r="L3" s="41"/>
      <c r="M3" s="41"/>
      <c r="N3" s="41"/>
      <c r="O3" s="41"/>
      <c r="P3" s="41"/>
      <c r="Q3" s="41"/>
      <c r="R3" s="41"/>
      <c r="S3" s="41"/>
      <c r="T3" s="41"/>
      <c r="U3" s="41"/>
      <c r="V3" s="41"/>
      <c r="W3" s="41"/>
      <c r="X3" s="41"/>
      <c r="Y3" s="41"/>
      <c r="Z3" s="41"/>
    </row>
    <row r="4" spans="1:26" s="38" customFormat="1" ht="165" customHeight="1">
      <c r="A4" s="82"/>
      <c r="B4" s="295" t="s">
        <v>641</v>
      </c>
      <c r="C4" s="396"/>
      <c r="D4" s="396"/>
      <c r="E4" s="396"/>
      <c r="F4" s="396"/>
      <c r="G4" s="396"/>
      <c r="H4" s="396"/>
      <c r="I4" s="396"/>
      <c r="J4" s="396"/>
      <c r="K4" s="41"/>
      <c r="L4" s="41"/>
      <c r="M4" s="41"/>
      <c r="N4" s="41"/>
      <c r="O4" s="41"/>
      <c r="P4" s="41"/>
      <c r="Q4" s="41"/>
      <c r="R4" s="41"/>
      <c r="S4" s="41"/>
      <c r="T4" s="41"/>
      <c r="U4" s="41"/>
      <c r="V4" s="41"/>
      <c r="W4" s="41"/>
      <c r="X4" s="41"/>
      <c r="Y4" s="41"/>
      <c r="Z4" s="41"/>
    </row>
    <row r="5" spans="1:26" s="47" customFormat="1" ht="7.5" customHeight="1">
      <c r="A5" s="36"/>
      <c r="B5" s="36"/>
      <c r="C5" s="36"/>
      <c r="D5" s="4"/>
      <c r="E5" s="4"/>
      <c r="F5" s="4"/>
      <c r="G5" s="4"/>
      <c r="H5" s="4"/>
      <c r="I5" s="4"/>
      <c r="J5" s="4"/>
      <c r="K5" s="41"/>
      <c r="L5" s="41"/>
      <c r="M5" s="41"/>
      <c r="N5" s="41"/>
      <c r="O5" s="41"/>
      <c r="P5" s="41"/>
      <c r="Q5" s="41"/>
      <c r="R5" s="41"/>
      <c r="S5" s="41"/>
      <c r="T5" s="41"/>
      <c r="U5" s="41"/>
      <c r="V5" s="41"/>
      <c r="W5" s="41"/>
      <c r="X5" s="41"/>
      <c r="Y5" s="41"/>
      <c r="Z5" s="41"/>
    </row>
    <row r="6" spans="1:26" s="47" customFormat="1" ht="3.75" customHeight="1">
      <c r="A6" s="56"/>
      <c r="B6" s="56"/>
      <c r="C6" s="56"/>
      <c r="D6" s="57"/>
      <c r="E6" s="57"/>
      <c r="F6" s="57"/>
      <c r="G6" s="57"/>
      <c r="H6" s="57"/>
      <c r="I6" s="57"/>
      <c r="J6" s="57"/>
      <c r="K6" s="41"/>
      <c r="L6" s="41"/>
      <c r="M6" s="41"/>
      <c r="N6" s="41"/>
      <c r="O6" s="41"/>
      <c r="P6" s="41"/>
      <c r="Q6" s="41"/>
      <c r="R6" s="41"/>
      <c r="S6" s="41"/>
      <c r="T6" s="41"/>
      <c r="U6" s="41"/>
      <c r="V6" s="41"/>
      <c r="W6" s="41"/>
      <c r="X6" s="41"/>
      <c r="Y6" s="41"/>
      <c r="Z6" s="41"/>
    </row>
    <row r="7" spans="1:26" ht="19.5" customHeight="1">
      <c r="A7" s="65"/>
      <c r="B7" s="398" t="s">
        <v>303</v>
      </c>
      <c r="C7" s="398"/>
      <c r="D7" s="398"/>
      <c r="E7" s="398"/>
      <c r="F7" s="398"/>
      <c r="G7" s="65"/>
      <c r="H7" s="65"/>
      <c r="I7" s="65"/>
      <c r="J7" s="65"/>
      <c r="K7" s="90"/>
      <c r="L7" s="90"/>
      <c r="M7" s="90"/>
      <c r="N7" s="90"/>
      <c r="O7" s="90"/>
      <c r="P7" s="90"/>
      <c r="Q7" s="90"/>
      <c r="R7" s="90"/>
      <c r="S7" s="90"/>
      <c r="T7" s="90"/>
      <c r="U7" s="90"/>
      <c r="V7" s="90"/>
      <c r="W7" s="90"/>
      <c r="X7" s="90"/>
      <c r="Y7" s="90"/>
      <c r="Z7" s="90"/>
    </row>
    <row r="8" spans="1:26" ht="19.5" customHeight="1">
      <c r="A8" s="65"/>
      <c r="B8" s="57" t="s">
        <v>441</v>
      </c>
      <c r="C8" s="57"/>
      <c r="D8" s="57"/>
      <c r="E8" s="57"/>
      <c r="F8" s="57"/>
      <c r="G8" s="57"/>
      <c r="H8" s="57"/>
      <c r="I8" s="125">
        <v>0</v>
      </c>
      <c r="J8" s="57"/>
      <c r="K8" s="90"/>
      <c r="L8" s="90"/>
      <c r="M8" s="90"/>
      <c r="N8" s="90"/>
      <c r="O8" s="90"/>
      <c r="P8" s="90"/>
      <c r="Q8" s="90"/>
      <c r="R8" s="90"/>
      <c r="S8" s="90"/>
      <c r="T8" s="90"/>
      <c r="U8" s="90"/>
      <c r="V8" s="90"/>
      <c r="W8" s="90"/>
      <c r="X8" s="90"/>
      <c r="Y8" s="90"/>
      <c r="Z8" s="90"/>
    </row>
    <row r="9" spans="1:26" ht="19.5" customHeight="1">
      <c r="A9" s="58">
        <v>1</v>
      </c>
      <c r="B9" s="322" t="s">
        <v>241</v>
      </c>
      <c r="C9" s="322"/>
      <c r="D9" s="322"/>
      <c r="E9" s="322"/>
      <c r="F9" s="322"/>
      <c r="G9" s="322"/>
      <c r="H9" s="322"/>
      <c r="I9" s="104"/>
      <c r="J9" s="104"/>
      <c r="K9" s="90"/>
      <c r="L9" s="90"/>
      <c r="M9" s="90"/>
      <c r="N9" s="90"/>
      <c r="O9" s="90"/>
      <c r="P9" s="90"/>
      <c r="Q9" s="90"/>
      <c r="R9" s="90"/>
      <c r="S9" s="90"/>
      <c r="T9" s="90"/>
      <c r="U9" s="90"/>
      <c r="V9" s="90"/>
      <c r="W9" s="90"/>
      <c r="X9" s="90"/>
      <c r="Y9" s="90"/>
      <c r="Z9" s="90"/>
    </row>
    <row r="10" spans="1:26" ht="19.5" customHeight="1">
      <c r="A10" s="56"/>
      <c r="B10" s="65" t="s">
        <v>355</v>
      </c>
      <c r="C10" s="65"/>
      <c r="D10" s="65"/>
      <c r="E10" s="65"/>
      <c r="F10" s="65"/>
      <c r="G10" s="65"/>
      <c r="H10" s="65"/>
      <c r="I10" s="65"/>
      <c r="J10" s="65"/>
      <c r="K10" s="90"/>
      <c r="L10" s="90"/>
      <c r="M10" s="90"/>
      <c r="N10" s="90"/>
      <c r="O10" s="90"/>
      <c r="P10" s="90"/>
      <c r="Q10" s="90"/>
      <c r="R10" s="90"/>
      <c r="S10" s="90"/>
      <c r="T10" s="90"/>
      <c r="U10" s="90"/>
      <c r="V10" s="90"/>
      <c r="W10" s="90"/>
      <c r="X10" s="90"/>
      <c r="Y10" s="90"/>
      <c r="Z10" s="90"/>
    </row>
    <row r="11" spans="1:26" ht="19.5" customHeight="1">
      <c r="A11" s="56"/>
      <c r="B11" s="56" t="s">
        <v>214</v>
      </c>
      <c r="C11" s="177">
        <f>'SP11-1'!I42</f>
        <v>1.4</v>
      </c>
      <c r="D11" s="72" t="s">
        <v>215</v>
      </c>
      <c r="E11" s="176">
        <v>50</v>
      </c>
      <c r="F11" s="56" t="s">
        <v>216</v>
      </c>
      <c r="G11" s="105">
        <f>H43</f>
        <v>14.52187909384241</v>
      </c>
      <c r="H11" s="72" t="s">
        <v>202</v>
      </c>
      <c r="I11" s="175">
        <f>C11*E11*G11*2.7*365</f>
        <v>1001791.8292887188</v>
      </c>
      <c r="J11" s="58" t="s">
        <v>28</v>
      </c>
      <c r="K11" s="90"/>
      <c r="L11" s="90"/>
      <c r="M11" s="90"/>
      <c r="N11" s="90"/>
      <c r="O11" s="90"/>
      <c r="P11" s="90"/>
      <c r="Q11" s="90"/>
      <c r="R11" s="90"/>
      <c r="S11" s="90"/>
      <c r="T11" s="90"/>
      <c r="U11" s="90"/>
      <c r="V11" s="90"/>
      <c r="W11" s="90"/>
      <c r="X11" s="90"/>
      <c r="Y11" s="90"/>
      <c r="Z11" s="90"/>
    </row>
    <row r="12" spans="1:26" ht="7.5" customHeight="1">
      <c r="A12" s="56"/>
      <c r="B12" s="65"/>
      <c r="C12" s="65"/>
      <c r="D12" s="65"/>
      <c r="E12" s="65"/>
      <c r="F12" s="65"/>
      <c r="G12" s="104"/>
      <c r="H12" s="104"/>
      <c r="I12" s="104"/>
      <c r="J12" s="104"/>
      <c r="K12" s="90"/>
      <c r="L12" s="90"/>
      <c r="M12" s="90"/>
      <c r="N12" s="90"/>
      <c r="O12" s="90"/>
      <c r="P12" s="90"/>
      <c r="Q12" s="90"/>
      <c r="R12" s="90"/>
      <c r="S12" s="90"/>
      <c r="T12" s="90"/>
      <c r="U12" s="90"/>
      <c r="V12" s="90"/>
      <c r="W12" s="90"/>
      <c r="X12" s="90"/>
      <c r="Y12" s="90"/>
      <c r="Z12" s="90"/>
    </row>
    <row r="13" spans="1:26" ht="2.25" customHeight="1" thickBot="1">
      <c r="A13" s="106"/>
      <c r="B13" s="62"/>
      <c r="C13" s="62"/>
      <c r="D13" s="62"/>
      <c r="E13" s="62"/>
      <c r="F13" s="62"/>
      <c r="G13" s="62"/>
      <c r="H13" s="62"/>
      <c r="I13" s="62"/>
      <c r="J13" s="62"/>
      <c r="K13" s="90"/>
      <c r="L13" s="90"/>
      <c r="M13" s="90"/>
      <c r="N13" s="90"/>
      <c r="O13" s="90"/>
      <c r="P13" s="90"/>
      <c r="Q13" s="90"/>
      <c r="R13" s="90"/>
      <c r="S13" s="90"/>
      <c r="T13" s="90"/>
      <c r="U13" s="90"/>
      <c r="V13" s="90"/>
      <c r="W13" s="90"/>
      <c r="X13" s="90"/>
      <c r="Y13" s="90"/>
      <c r="Z13" s="90"/>
    </row>
    <row r="14" spans="1:26" ht="28.5" customHeight="1" thickTop="1">
      <c r="A14" s="58">
        <v>2</v>
      </c>
      <c r="B14" s="397" t="s">
        <v>445</v>
      </c>
      <c r="C14" s="397"/>
      <c r="D14" s="397"/>
      <c r="E14" s="397"/>
      <c r="F14" s="397"/>
      <c r="G14" s="397"/>
      <c r="H14" s="397"/>
      <c r="I14" s="397"/>
      <c r="J14" s="397"/>
      <c r="K14" s="90"/>
      <c r="L14" s="90"/>
      <c r="M14" s="90"/>
      <c r="N14" s="90"/>
      <c r="O14" s="90"/>
      <c r="P14" s="90"/>
      <c r="Q14" s="90"/>
      <c r="R14" s="90"/>
      <c r="S14" s="90"/>
      <c r="T14" s="90"/>
      <c r="U14" s="90"/>
      <c r="V14" s="90"/>
      <c r="W14" s="90"/>
      <c r="X14" s="90"/>
      <c r="Y14" s="90"/>
      <c r="Z14" s="90"/>
    </row>
    <row r="15" spans="1:26" ht="19.5" customHeight="1">
      <c r="A15" s="56"/>
      <c r="B15" s="65" t="s">
        <v>356</v>
      </c>
      <c r="C15" s="65"/>
      <c r="D15" s="65"/>
      <c r="E15" s="65"/>
      <c r="F15" s="65"/>
      <c r="G15" s="65"/>
      <c r="H15" s="65"/>
      <c r="I15" s="65"/>
      <c r="J15" s="65"/>
      <c r="K15" s="90"/>
      <c r="L15" s="90"/>
      <c r="M15" s="90"/>
      <c r="N15" s="90"/>
      <c r="O15" s="90"/>
      <c r="P15" s="90"/>
      <c r="Q15" s="90"/>
      <c r="R15" s="90"/>
      <c r="S15" s="90"/>
      <c r="T15" s="90"/>
      <c r="U15" s="90"/>
      <c r="V15" s="90"/>
      <c r="W15" s="90"/>
      <c r="X15" s="90"/>
      <c r="Y15" s="90"/>
      <c r="Z15" s="90"/>
    </row>
    <row r="16" spans="1:26" ht="19.5" customHeight="1">
      <c r="A16" s="56"/>
      <c r="B16" s="56"/>
      <c r="C16" s="72"/>
      <c r="D16" s="72" t="s">
        <v>217</v>
      </c>
      <c r="E16" s="232"/>
      <c r="F16" s="56" t="s">
        <v>216</v>
      </c>
      <c r="G16" s="105">
        <f>H43</f>
        <v>14.52187909384241</v>
      </c>
      <c r="H16" s="72" t="s">
        <v>202</v>
      </c>
      <c r="I16" s="175">
        <f>E16*365*2.7*G16</f>
        <v>0</v>
      </c>
      <c r="J16" s="58" t="s">
        <v>29</v>
      </c>
      <c r="K16" s="90"/>
      <c r="L16" s="90"/>
      <c r="M16" s="90"/>
      <c r="N16" s="90"/>
      <c r="O16" s="90"/>
      <c r="P16" s="90"/>
      <c r="Q16" s="90"/>
      <c r="R16" s="90"/>
      <c r="S16" s="90"/>
      <c r="T16" s="90"/>
      <c r="U16" s="90"/>
      <c r="V16" s="90"/>
      <c r="W16" s="90"/>
      <c r="X16" s="90"/>
      <c r="Y16" s="90"/>
      <c r="Z16" s="90"/>
    </row>
    <row r="17" spans="1:26" ht="15" customHeight="1">
      <c r="A17" s="56"/>
      <c r="B17" s="56"/>
      <c r="C17" s="72"/>
      <c r="D17" s="72"/>
      <c r="E17" s="65"/>
      <c r="F17" s="65"/>
      <c r="G17" s="65"/>
      <c r="H17" s="65"/>
      <c r="I17" s="65"/>
      <c r="J17" s="72" t="s">
        <v>352</v>
      </c>
      <c r="K17" s="90"/>
      <c r="L17" s="90"/>
      <c r="M17" s="90"/>
      <c r="N17" s="90"/>
      <c r="O17" s="90"/>
      <c r="P17" s="90"/>
      <c r="Q17" s="90"/>
      <c r="R17" s="90"/>
      <c r="S17" s="90"/>
      <c r="T17" s="90"/>
      <c r="U17" s="90"/>
      <c r="V17" s="90"/>
      <c r="W17" s="90"/>
      <c r="X17" s="90"/>
      <c r="Y17" s="90"/>
      <c r="Z17" s="90"/>
    </row>
    <row r="18" spans="1:26" ht="4.5" customHeight="1" thickBot="1">
      <c r="A18" s="106"/>
      <c r="B18" s="62"/>
      <c r="C18" s="62"/>
      <c r="D18" s="62"/>
      <c r="E18" s="62"/>
      <c r="F18" s="62"/>
      <c r="G18" s="62"/>
      <c r="H18" s="62"/>
      <c r="I18" s="62"/>
      <c r="J18" s="62"/>
      <c r="K18" s="90"/>
      <c r="L18" s="90"/>
      <c r="M18" s="90"/>
      <c r="N18" s="90"/>
      <c r="O18" s="90"/>
      <c r="P18" s="90"/>
      <c r="Q18" s="90"/>
      <c r="R18" s="90"/>
      <c r="S18" s="90"/>
      <c r="T18" s="90"/>
      <c r="U18" s="90"/>
      <c r="V18" s="90"/>
      <c r="W18" s="90"/>
      <c r="X18" s="90"/>
      <c r="Y18" s="90"/>
      <c r="Z18" s="90"/>
    </row>
    <row r="19" spans="1:26" s="1" customFormat="1" ht="19.5" customHeight="1" thickTop="1">
      <c r="A19" s="76"/>
      <c r="B19" s="398" t="s">
        <v>304</v>
      </c>
      <c r="C19" s="398"/>
      <c r="D19" s="398"/>
      <c r="E19" s="398"/>
      <c r="F19" s="398"/>
      <c r="G19" s="60"/>
      <c r="H19" s="60"/>
      <c r="I19" s="60"/>
      <c r="J19" s="60"/>
      <c r="K19" s="80"/>
      <c r="L19" s="80"/>
      <c r="M19" s="80"/>
      <c r="N19" s="80"/>
      <c r="O19" s="80"/>
      <c r="P19" s="80"/>
      <c r="Q19" s="80"/>
      <c r="R19" s="80"/>
      <c r="S19" s="80"/>
      <c r="T19" s="80"/>
      <c r="U19" s="80"/>
      <c r="V19" s="80"/>
      <c r="W19" s="80"/>
      <c r="X19" s="80"/>
      <c r="Y19" s="80"/>
      <c r="Z19" s="80"/>
    </row>
    <row r="20" spans="1:26" ht="19.5" customHeight="1">
      <c r="A20" s="65"/>
      <c r="B20" s="57" t="s">
        <v>442</v>
      </c>
      <c r="C20" s="57"/>
      <c r="D20" s="57"/>
      <c r="E20" s="57"/>
      <c r="F20" s="57"/>
      <c r="G20" s="57"/>
      <c r="H20" s="57"/>
      <c r="I20" s="125">
        <v>0</v>
      </c>
      <c r="J20" s="57"/>
      <c r="K20" s="90"/>
      <c r="L20" s="90"/>
      <c r="M20" s="90"/>
      <c r="N20" s="90"/>
      <c r="O20" s="90"/>
      <c r="P20" s="90"/>
      <c r="Q20" s="90"/>
      <c r="R20" s="90"/>
      <c r="S20" s="90"/>
      <c r="T20" s="90"/>
      <c r="U20" s="90"/>
      <c r="V20" s="90"/>
      <c r="W20" s="90"/>
      <c r="X20" s="90"/>
      <c r="Y20" s="90"/>
      <c r="Z20" s="90"/>
    </row>
    <row r="21" spans="1:26" ht="19.5" customHeight="1">
      <c r="A21" s="58">
        <v>3</v>
      </c>
      <c r="B21" s="376" t="s">
        <v>242</v>
      </c>
      <c r="C21" s="376"/>
      <c r="D21" s="376"/>
      <c r="E21" s="376"/>
      <c r="F21" s="376"/>
      <c r="G21" s="376"/>
      <c r="H21" s="376"/>
      <c r="I21" s="376"/>
      <c r="J21" s="107"/>
      <c r="K21" s="90"/>
      <c r="L21" s="90"/>
      <c r="M21" s="90"/>
      <c r="N21" s="90"/>
      <c r="O21" s="90"/>
      <c r="P21" s="90"/>
      <c r="Q21" s="90"/>
      <c r="R21" s="90"/>
      <c r="S21" s="90"/>
      <c r="T21" s="90"/>
      <c r="U21" s="90"/>
      <c r="V21" s="90"/>
      <c r="W21" s="90"/>
      <c r="X21" s="90"/>
      <c r="Y21" s="90"/>
      <c r="Z21" s="90"/>
    </row>
    <row r="22" spans="1:26" ht="19.5" customHeight="1">
      <c r="A22" s="56"/>
      <c r="B22" s="65" t="s">
        <v>357</v>
      </c>
      <c r="C22" s="65"/>
      <c r="D22" s="65"/>
      <c r="E22" s="65"/>
      <c r="F22" s="65"/>
      <c r="G22" s="65"/>
      <c r="H22" s="65"/>
      <c r="I22" s="65"/>
      <c r="J22" s="65"/>
      <c r="K22" s="90"/>
      <c r="L22" s="90"/>
      <c r="M22" s="90"/>
      <c r="N22" s="90"/>
      <c r="O22" s="90"/>
      <c r="P22" s="90"/>
      <c r="Q22" s="90"/>
      <c r="R22" s="90"/>
      <c r="S22" s="90"/>
      <c r="T22" s="90"/>
      <c r="U22" s="90"/>
      <c r="V22" s="90"/>
      <c r="W22" s="90"/>
      <c r="X22" s="90"/>
      <c r="Y22" s="90"/>
      <c r="Z22" s="90"/>
    </row>
    <row r="23" spans="1:26" ht="19.5" customHeight="1">
      <c r="A23" s="56"/>
      <c r="B23" s="56" t="s">
        <v>214</v>
      </c>
      <c r="C23" s="177">
        <f>'SP11-1'!I42</f>
        <v>1.4</v>
      </c>
      <c r="D23" s="72" t="s">
        <v>261</v>
      </c>
      <c r="E23" s="176">
        <v>36</v>
      </c>
      <c r="F23" s="56" t="s">
        <v>219</v>
      </c>
      <c r="G23" s="105">
        <f>H44</f>
        <v>14.52187909384241</v>
      </c>
      <c r="H23" s="72" t="s">
        <v>202</v>
      </c>
      <c r="I23" s="175">
        <f>C23*E23*G23*1.4*365</f>
        <v>374002.28293445491</v>
      </c>
      <c r="J23" s="58" t="s">
        <v>31</v>
      </c>
      <c r="K23" s="90"/>
      <c r="L23" s="90"/>
      <c r="M23" s="90"/>
      <c r="N23" s="90"/>
      <c r="O23" s="90"/>
      <c r="P23" s="90"/>
      <c r="Q23" s="90"/>
      <c r="R23" s="90"/>
      <c r="S23" s="90"/>
      <c r="T23" s="90"/>
      <c r="U23" s="90"/>
      <c r="V23" s="90"/>
      <c r="W23" s="90"/>
      <c r="X23" s="90"/>
      <c r="Y23" s="90"/>
      <c r="Z23" s="90"/>
    </row>
    <row r="24" spans="1:26" ht="5.25" customHeight="1" thickBot="1">
      <c r="A24" s="106"/>
      <c r="B24" s="62"/>
      <c r="C24" s="62"/>
      <c r="D24" s="62"/>
      <c r="E24" s="62"/>
      <c r="F24" s="62"/>
      <c r="G24" s="62"/>
      <c r="H24" s="62"/>
      <c r="I24" s="62"/>
      <c r="J24" s="62"/>
      <c r="K24" s="90"/>
      <c r="L24" s="90"/>
      <c r="M24" s="90"/>
      <c r="N24" s="90"/>
      <c r="O24" s="90"/>
      <c r="P24" s="90"/>
      <c r="Q24" s="90"/>
      <c r="R24" s="90"/>
      <c r="S24" s="90"/>
      <c r="T24" s="90"/>
      <c r="U24" s="90"/>
      <c r="V24" s="90"/>
      <c r="W24" s="90"/>
      <c r="X24" s="90"/>
      <c r="Y24" s="90"/>
      <c r="Z24" s="90"/>
    </row>
    <row r="25" spans="1:26" ht="24.75" customHeight="1" thickTop="1">
      <c r="A25" s="58">
        <v>4</v>
      </c>
      <c r="B25" s="397" t="s">
        <v>444</v>
      </c>
      <c r="C25" s="397"/>
      <c r="D25" s="397"/>
      <c r="E25" s="397"/>
      <c r="F25" s="397"/>
      <c r="G25" s="397"/>
      <c r="H25" s="397"/>
      <c r="I25" s="397"/>
      <c r="J25" s="65"/>
      <c r="K25" s="90"/>
      <c r="L25" s="90"/>
      <c r="M25" s="90"/>
      <c r="N25" s="90"/>
      <c r="O25" s="90"/>
      <c r="P25" s="90"/>
      <c r="Q25" s="90"/>
      <c r="R25" s="90"/>
      <c r="S25" s="90"/>
      <c r="T25" s="90"/>
      <c r="U25" s="90"/>
      <c r="V25" s="90"/>
      <c r="W25" s="90"/>
      <c r="X25" s="90"/>
      <c r="Y25" s="90"/>
      <c r="Z25" s="90"/>
    </row>
    <row r="26" spans="1:26" ht="19.5" customHeight="1">
      <c r="A26" s="56"/>
      <c r="B26" s="65" t="s">
        <v>358</v>
      </c>
      <c r="C26" s="65"/>
      <c r="D26" s="65"/>
      <c r="E26" s="65"/>
      <c r="F26" s="65"/>
      <c r="G26" s="65"/>
      <c r="H26" s="65"/>
      <c r="I26" s="65"/>
      <c r="J26" s="65"/>
      <c r="K26" s="90"/>
      <c r="L26" s="90"/>
      <c r="M26" s="90"/>
      <c r="N26" s="90"/>
      <c r="O26" s="90"/>
      <c r="P26" s="90"/>
      <c r="Q26" s="90"/>
      <c r="R26" s="90"/>
      <c r="S26" s="90"/>
      <c r="T26" s="90"/>
      <c r="U26" s="90"/>
      <c r="V26" s="90"/>
      <c r="W26" s="90"/>
      <c r="X26" s="90"/>
      <c r="Y26" s="90"/>
      <c r="Z26" s="90"/>
    </row>
    <row r="27" spans="1:26" ht="19.5" customHeight="1">
      <c r="A27" s="56"/>
      <c r="B27" s="56"/>
      <c r="C27" s="72"/>
      <c r="D27" s="72" t="s">
        <v>262</v>
      </c>
      <c r="E27" s="232"/>
      <c r="F27" s="56" t="s">
        <v>258</v>
      </c>
      <c r="G27" s="105">
        <f>H44</f>
        <v>14.52187909384241</v>
      </c>
      <c r="H27" s="72" t="s">
        <v>202</v>
      </c>
      <c r="I27" s="175">
        <f>E27*365*4.2*G27</f>
        <v>0</v>
      </c>
      <c r="J27" s="58" t="s">
        <v>211</v>
      </c>
      <c r="K27" s="90"/>
      <c r="L27" s="90"/>
      <c r="M27" s="90"/>
      <c r="N27" s="90"/>
      <c r="O27" s="90"/>
      <c r="P27" s="90"/>
      <c r="Q27" s="90"/>
      <c r="R27" s="90"/>
      <c r="S27" s="90"/>
      <c r="T27" s="90"/>
      <c r="U27" s="90"/>
      <c r="V27" s="90"/>
      <c r="W27" s="90"/>
      <c r="X27" s="90"/>
      <c r="Y27" s="90"/>
      <c r="Z27" s="90"/>
    </row>
    <row r="28" spans="1:26" ht="15" customHeight="1">
      <c r="A28" s="56"/>
      <c r="B28" s="65"/>
      <c r="C28" s="65"/>
      <c r="D28" s="65"/>
      <c r="E28" s="65"/>
      <c r="F28" s="65"/>
      <c r="G28" s="104"/>
      <c r="H28" s="104"/>
      <c r="I28" s="104"/>
      <c r="J28" s="72" t="s">
        <v>353</v>
      </c>
      <c r="K28" s="90"/>
      <c r="L28" s="90"/>
      <c r="M28" s="90"/>
      <c r="N28" s="90"/>
      <c r="O28" s="90"/>
      <c r="P28" s="90"/>
      <c r="Q28" s="90"/>
      <c r="R28" s="90"/>
      <c r="S28" s="90"/>
      <c r="T28" s="90"/>
      <c r="U28" s="90"/>
      <c r="V28" s="90"/>
      <c r="W28" s="90"/>
      <c r="X28" s="90"/>
      <c r="Y28" s="90"/>
      <c r="Z28" s="90"/>
    </row>
    <row r="29" spans="1:26" ht="4.5" customHeight="1" thickBot="1">
      <c r="A29" s="106"/>
      <c r="B29" s="62"/>
      <c r="C29" s="62"/>
      <c r="D29" s="62"/>
      <c r="E29" s="62"/>
      <c r="F29" s="62"/>
      <c r="G29" s="62"/>
      <c r="H29" s="62"/>
      <c r="I29" s="62"/>
      <c r="J29" s="62"/>
      <c r="K29" s="90"/>
      <c r="L29" s="90"/>
      <c r="M29" s="90"/>
      <c r="N29" s="90"/>
      <c r="O29" s="90"/>
      <c r="P29" s="90"/>
      <c r="Q29" s="90"/>
      <c r="R29" s="90"/>
      <c r="S29" s="90"/>
      <c r="T29" s="90"/>
      <c r="U29" s="90"/>
      <c r="V29" s="90"/>
      <c r="W29" s="90"/>
      <c r="X29" s="90"/>
      <c r="Y29" s="90"/>
      <c r="Z29" s="90"/>
    </row>
    <row r="30" spans="1:26" s="1" customFormat="1" ht="19.5" customHeight="1" thickTop="1">
      <c r="A30" s="76"/>
      <c r="B30" s="398" t="s">
        <v>305</v>
      </c>
      <c r="C30" s="398"/>
      <c r="D30" s="398"/>
      <c r="E30" s="398"/>
      <c r="F30" s="398"/>
      <c r="G30" s="60"/>
      <c r="H30" s="60"/>
      <c r="I30" s="60"/>
      <c r="J30" s="60"/>
      <c r="K30" s="80"/>
      <c r="L30" s="80"/>
      <c r="M30" s="80"/>
      <c r="N30" s="80"/>
      <c r="O30" s="80"/>
      <c r="P30" s="80"/>
      <c r="Q30" s="80"/>
      <c r="R30" s="80"/>
      <c r="S30" s="80"/>
      <c r="T30" s="80"/>
      <c r="U30" s="80"/>
      <c r="V30" s="80"/>
      <c r="W30" s="80"/>
      <c r="X30" s="80"/>
      <c r="Y30" s="80"/>
      <c r="Z30" s="80"/>
    </row>
    <row r="31" spans="1:26" ht="27.75" customHeight="1">
      <c r="A31" s="58">
        <v>5</v>
      </c>
      <c r="B31" s="376" t="s">
        <v>618</v>
      </c>
      <c r="C31" s="376"/>
      <c r="D31" s="376"/>
      <c r="E31" s="376"/>
      <c r="F31" s="376"/>
      <c r="G31" s="376"/>
      <c r="H31" s="376"/>
      <c r="I31" s="376"/>
      <c r="J31" s="107"/>
      <c r="K31" s="90"/>
      <c r="L31" s="90"/>
      <c r="M31" s="90"/>
      <c r="N31" s="90"/>
      <c r="O31" s="90"/>
      <c r="P31" s="90"/>
      <c r="Q31" s="90"/>
      <c r="R31" s="90"/>
      <c r="S31" s="90"/>
      <c r="T31" s="90"/>
      <c r="U31" s="90"/>
      <c r="V31" s="90"/>
      <c r="W31" s="90"/>
      <c r="X31" s="90"/>
      <c r="Y31" s="90"/>
      <c r="Z31" s="90"/>
    </row>
    <row r="32" spans="1:26" ht="19.5" customHeight="1">
      <c r="A32" s="56"/>
      <c r="B32" s="65" t="s">
        <v>221</v>
      </c>
      <c r="C32" s="65"/>
      <c r="D32" s="65"/>
      <c r="E32" s="65"/>
      <c r="F32" s="65"/>
      <c r="G32" s="65"/>
      <c r="H32" s="65"/>
      <c r="I32" s="65"/>
      <c r="J32" s="65"/>
      <c r="K32" s="90"/>
      <c r="L32" s="90"/>
      <c r="M32" s="90"/>
      <c r="N32" s="90"/>
      <c r="O32" s="90"/>
      <c r="P32" s="90"/>
      <c r="Q32" s="90"/>
      <c r="R32" s="90"/>
      <c r="S32" s="90"/>
      <c r="T32" s="90"/>
      <c r="U32" s="90"/>
      <c r="V32" s="90"/>
      <c r="W32" s="90"/>
      <c r="X32" s="90"/>
      <c r="Y32" s="90"/>
      <c r="Z32" s="90"/>
    </row>
    <row r="33" spans="1:26" ht="19.5" customHeight="1">
      <c r="A33" s="56"/>
      <c r="B33" s="56" t="s">
        <v>214</v>
      </c>
      <c r="C33" s="177">
        <f>'SP11-1'!I42</f>
        <v>1.4</v>
      </c>
      <c r="D33" s="72" t="s">
        <v>306</v>
      </c>
      <c r="E33" s="176">
        <v>133</v>
      </c>
      <c r="F33" s="56" t="s">
        <v>220</v>
      </c>
      <c r="G33" s="105">
        <f>H44</f>
        <v>14.52187909384241</v>
      </c>
      <c r="H33" s="72" t="s">
        <v>202</v>
      </c>
      <c r="I33" s="175">
        <f>C33*E33*G33*0.05*365</f>
        <v>49347.523442740589</v>
      </c>
      <c r="J33" s="58" t="s">
        <v>213</v>
      </c>
      <c r="K33" s="90"/>
      <c r="L33" s="90"/>
      <c r="M33" s="90"/>
      <c r="N33" s="90"/>
      <c r="O33" s="90"/>
      <c r="P33" s="90"/>
      <c r="Q33" s="90"/>
      <c r="R33" s="90"/>
      <c r="S33" s="90"/>
      <c r="T33" s="90"/>
      <c r="U33" s="90"/>
      <c r="V33" s="90"/>
      <c r="W33" s="90"/>
      <c r="X33" s="90"/>
      <c r="Y33" s="90"/>
      <c r="Z33" s="90"/>
    </row>
    <row r="34" spans="1:26" ht="4.5" customHeight="1" thickBot="1">
      <c r="A34" s="106"/>
      <c r="B34" s="62"/>
      <c r="C34" s="62"/>
      <c r="D34" s="62"/>
      <c r="E34" s="62"/>
      <c r="F34" s="62"/>
      <c r="G34" s="62"/>
      <c r="H34" s="62"/>
      <c r="I34" s="62"/>
      <c r="J34" s="62"/>
      <c r="K34" s="90"/>
      <c r="L34" s="90"/>
      <c r="M34" s="90"/>
      <c r="N34" s="90"/>
      <c r="O34" s="90"/>
      <c r="P34" s="90"/>
      <c r="Q34" s="90"/>
      <c r="R34" s="90"/>
      <c r="S34" s="90"/>
      <c r="T34" s="90"/>
      <c r="U34" s="90"/>
      <c r="V34" s="90"/>
      <c r="W34" s="90"/>
      <c r="X34" s="90"/>
      <c r="Y34" s="90"/>
      <c r="Z34" s="90"/>
    </row>
    <row r="35" spans="1:26" ht="29.25" customHeight="1" thickTop="1">
      <c r="A35" s="58">
        <v>6</v>
      </c>
      <c r="B35" s="397" t="s">
        <v>619</v>
      </c>
      <c r="C35" s="397"/>
      <c r="D35" s="397"/>
      <c r="E35" s="397"/>
      <c r="F35" s="397"/>
      <c r="G35" s="397"/>
      <c r="H35" s="397"/>
      <c r="I35" s="397"/>
      <c r="J35" s="107"/>
      <c r="K35" s="90"/>
      <c r="L35" s="90"/>
      <c r="M35" s="90"/>
      <c r="N35" s="90"/>
      <c r="O35" s="90"/>
      <c r="P35" s="90"/>
      <c r="Q35" s="90"/>
      <c r="R35" s="90"/>
      <c r="S35" s="90"/>
      <c r="T35" s="90"/>
      <c r="U35" s="90"/>
      <c r="V35" s="90"/>
      <c r="W35" s="90"/>
      <c r="X35" s="90"/>
      <c r="Y35" s="90"/>
      <c r="Z35" s="90"/>
    </row>
    <row r="36" spans="1:26" ht="19.5" customHeight="1">
      <c r="A36" s="56"/>
      <c r="B36" s="65" t="s">
        <v>263</v>
      </c>
      <c r="C36" s="65"/>
      <c r="D36" s="65"/>
      <c r="E36" s="65"/>
      <c r="F36" s="65"/>
      <c r="G36" s="65"/>
      <c r="H36" s="65"/>
      <c r="I36" s="65"/>
      <c r="J36" s="65"/>
      <c r="K36" s="90"/>
      <c r="L36" s="90"/>
      <c r="M36" s="90"/>
      <c r="N36" s="90"/>
      <c r="O36" s="90"/>
      <c r="P36" s="90"/>
      <c r="Q36" s="90"/>
      <c r="R36" s="90"/>
      <c r="S36" s="90"/>
      <c r="T36" s="90"/>
      <c r="U36" s="90"/>
      <c r="V36" s="90"/>
      <c r="W36" s="90"/>
      <c r="X36" s="90"/>
      <c r="Y36" s="90"/>
      <c r="Z36" s="90"/>
    </row>
    <row r="37" spans="1:26" ht="19.5" customHeight="1">
      <c r="A37" s="56"/>
      <c r="B37" s="56"/>
      <c r="C37" s="72"/>
      <c r="D37" s="72" t="s">
        <v>307</v>
      </c>
      <c r="E37" s="232"/>
      <c r="F37" s="56" t="s">
        <v>259</v>
      </c>
      <c r="G37" s="105">
        <f>H44</f>
        <v>14.52187909384241</v>
      </c>
      <c r="H37" s="72" t="s">
        <v>202</v>
      </c>
      <c r="I37" s="175">
        <f>E37*365*0.15*G37</f>
        <v>0</v>
      </c>
      <c r="J37" s="58" t="s">
        <v>218</v>
      </c>
      <c r="K37" s="90"/>
      <c r="L37" s="90"/>
      <c r="M37" s="90"/>
      <c r="N37" s="90"/>
      <c r="O37" s="90"/>
      <c r="P37" s="90"/>
      <c r="Q37" s="90"/>
      <c r="R37" s="90"/>
      <c r="S37" s="90"/>
      <c r="T37" s="90"/>
      <c r="U37" s="90"/>
      <c r="V37" s="90"/>
      <c r="W37" s="90"/>
      <c r="X37" s="90"/>
      <c r="Y37" s="90"/>
      <c r="Z37" s="90"/>
    </row>
    <row r="38" spans="1:26" ht="15" customHeight="1">
      <c r="A38" s="56"/>
      <c r="B38" s="65"/>
      <c r="C38" s="65"/>
      <c r="D38" s="65"/>
      <c r="E38" s="65"/>
      <c r="F38" s="65"/>
      <c r="G38" s="65"/>
      <c r="H38" s="65"/>
      <c r="I38" s="65"/>
      <c r="J38" s="72" t="s">
        <v>354</v>
      </c>
      <c r="K38" s="90"/>
      <c r="L38" s="90"/>
      <c r="M38" s="90"/>
      <c r="N38" s="90"/>
      <c r="O38" s="90"/>
      <c r="P38" s="90"/>
      <c r="Q38" s="90"/>
      <c r="R38" s="90"/>
      <c r="S38" s="90"/>
      <c r="T38" s="90"/>
      <c r="U38" s="90"/>
      <c r="V38" s="90"/>
      <c r="W38" s="90"/>
      <c r="X38" s="90"/>
      <c r="Y38" s="90"/>
      <c r="Z38" s="90"/>
    </row>
    <row r="39" spans="1:26">
      <c r="A39" s="79"/>
      <c r="B39" s="80"/>
      <c r="C39" s="80"/>
      <c r="D39" s="80"/>
      <c r="E39" s="80"/>
      <c r="F39" s="80"/>
      <c r="G39" s="80"/>
      <c r="H39" s="80"/>
      <c r="I39" s="80"/>
      <c r="J39" s="80"/>
      <c r="K39" s="90"/>
      <c r="L39" s="90"/>
      <c r="M39" s="90"/>
      <c r="N39" s="90"/>
      <c r="O39" s="90"/>
      <c r="P39" s="90"/>
      <c r="Q39" s="90"/>
      <c r="R39" s="90"/>
      <c r="S39" s="90"/>
      <c r="T39" s="90"/>
      <c r="U39" s="90"/>
      <c r="V39" s="90"/>
      <c r="W39" s="90"/>
      <c r="X39" s="90"/>
      <c r="Y39" s="90"/>
      <c r="Z39" s="90"/>
    </row>
    <row r="40" spans="1:26" hidden="1">
      <c r="A40" s="79"/>
      <c r="B40" s="90"/>
      <c r="C40" s="90"/>
      <c r="D40" s="90"/>
      <c r="E40" s="90"/>
      <c r="F40" s="90"/>
      <c r="G40" s="90"/>
      <c r="H40" s="90"/>
      <c r="I40" s="90"/>
      <c r="J40" s="90"/>
      <c r="K40" s="90"/>
      <c r="L40" s="90"/>
      <c r="M40" s="90"/>
      <c r="N40" s="90"/>
      <c r="O40" s="90"/>
      <c r="P40" s="90"/>
      <c r="Q40" s="90"/>
      <c r="R40" s="90"/>
      <c r="S40" s="90"/>
      <c r="T40" s="90"/>
      <c r="U40" s="90"/>
      <c r="V40" s="90"/>
      <c r="W40" s="90"/>
      <c r="X40" s="90"/>
      <c r="Y40" s="90"/>
      <c r="Z40" s="90"/>
    </row>
    <row r="41" spans="1:26" hidden="1">
      <c r="A41" s="79" t="s">
        <v>163</v>
      </c>
      <c r="B41" s="90"/>
      <c r="C41" s="90"/>
      <c r="D41" s="90"/>
      <c r="E41" s="90"/>
      <c r="F41" s="90"/>
      <c r="G41" s="90"/>
      <c r="H41" s="90"/>
      <c r="I41" s="90"/>
      <c r="J41" s="90"/>
      <c r="K41" s="90"/>
      <c r="L41" s="90"/>
      <c r="M41" s="90"/>
      <c r="N41" s="90"/>
      <c r="O41" s="90"/>
      <c r="P41" s="90"/>
      <c r="Q41" s="90"/>
      <c r="R41" s="90"/>
      <c r="S41" s="90"/>
      <c r="T41" s="90"/>
      <c r="U41" s="90"/>
      <c r="V41" s="90"/>
      <c r="W41" s="90"/>
      <c r="X41" s="90"/>
      <c r="Y41" s="90"/>
      <c r="Z41" s="90"/>
    </row>
    <row r="42" spans="1:26" hidden="1">
      <c r="A42" s="79" t="s">
        <v>164</v>
      </c>
      <c r="B42" s="90"/>
      <c r="C42" s="90"/>
      <c r="D42" s="90"/>
      <c r="E42" s="90"/>
      <c r="F42" s="90"/>
      <c r="G42" s="90"/>
      <c r="H42" s="90"/>
      <c r="I42" s="90"/>
      <c r="J42" s="90"/>
      <c r="K42" s="90"/>
      <c r="L42" s="90"/>
      <c r="M42" s="90"/>
      <c r="N42" s="90"/>
      <c r="O42" s="90"/>
      <c r="P42" s="90"/>
      <c r="Q42" s="90"/>
      <c r="R42" s="90"/>
      <c r="S42" s="90"/>
      <c r="T42" s="90"/>
      <c r="U42" s="90"/>
      <c r="V42" s="90"/>
      <c r="W42" s="90"/>
      <c r="X42" s="90"/>
      <c r="Y42" s="90"/>
      <c r="Z42" s="90"/>
    </row>
    <row r="43" spans="1:26" hidden="1">
      <c r="A43" s="79" t="s">
        <v>165</v>
      </c>
      <c r="B43" s="90"/>
      <c r="C43" s="90"/>
      <c r="D43" s="108">
        <v>0.97142327541941853</v>
      </c>
      <c r="E43" s="108">
        <v>15.493302369261828</v>
      </c>
      <c r="F43" s="108">
        <v>0.4809949234794999</v>
      </c>
      <c r="G43" s="108">
        <v>199.15277691889258</v>
      </c>
      <c r="H43" s="368">
        <f>E43-D43+J43*(G43-F43)</f>
        <v>14.52187909384241</v>
      </c>
      <c r="I43" s="368"/>
      <c r="J43" s="126">
        <f>I8</f>
        <v>0</v>
      </c>
      <c r="K43" s="90" t="s">
        <v>113</v>
      </c>
      <c r="L43" s="90"/>
      <c r="M43" s="90"/>
      <c r="N43" s="90"/>
      <c r="O43" s="90"/>
      <c r="P43" s="90"/>
      <c r="Q43" s="90"/>
      <c r="R43" s="90"/>
      <c r="S43" s="90"/>
      <c r="T43" s="90"/>
      <c r="U43" s="90"/>
      <c r="V43" s="90"/>
      <c r="W43" s="90"/>
      <c r="X43" s="90"/>
      <c r="Y43" s="90"/>
      <c r="Z43" s="90"/>
    </row>
    <row r="44" spans="1:26" hidden="1">
      <c r="A44" s="79" t="s">
        <v>166</v>
      </c>
      <c r="B44" s="90"/>
      <c r="C44" s="90"/>
      <c r="D44" s="108">
        <v>0.97142327541941853</v>
      </c>
      <c r="E44" s="108">
        <v>15.493302369261828</v>
      </c>
      <c r="F44" s="108">
        <v>0.4809949234794999</v>
      </c>
      <c r="G44" s="108">
        <v>199.15277691889258</v>
      </c>
      <c r="H44" s="368">
        <f>E44-D44+J44*(G44-F44)</f>
        <v>14.52187909384241</v>
      </c>
      <c r="I44" s="368"/>
      <c r="J44" s="126">
        <f>I20</f>
        <v>0</v>
      </c>
      <c r="K44" s="90" t="s">
        <v>443</v>
      </c>
      <c r="L44" s="90"/>
      <c r="M44" s="90"/>
      <c r="N44" s="90"/>
      <c r="O44" s="90"/>
      <c r="P44" s="90"/>
      <c r="Q44" s="90"/>
      <c r="R44" s="90"/>
      <c r="S44" s="90"/>
      <c r="T44" s="90"/>
      <c r="U44" s="90"/>
      <c r="V44" s="90"/>
      <c r="W44" s="90"/>
      <c r="X44" s="90"/>
      <c r="Y44" s="90"/>
      <c r="Z44" s="90"/>
    </row>
    <row r="45" spans="1:26" hidden="1">
      <c r="A45" s="79" t="s">
        <v>167</v>
      </c>
      <c r="B45" s="90"/>
      <c r="C45" s="90"/>
      <c r="D45" s="90"/>
      <c r="E45" s="90"/>
      <c r="F45" s="90"/>
      <c r="G45" s="90"/>
      <c r="H45" s="90"/>
      <c r="I45" s="90"/>
      <c r="J45" s="90"/>
      <c r="K45" s="90"/>
      <c r="L45" s="90"/>
      <c r="M45" s="90"/>
      <c r="N45" s="90"/>
      <c r="O45" s="90"/>
      <c r="P45" s="90"/>
      <c r="Q45" s="90"/>
      <c r="R45" s="90"/>
      <c r="S45" s="90"/>
      <c r="T45" s="90"/>
      <c r="U45" s="90"/>
      <c r="V45" s="90"/>
      <c r="W45" s="90"/>
      <c r="X45" s="90"/>
      <c r="Y45" s="90"/>
      <c r="Z45" s="90"/>
    </row>
    <row r="46" spans="1:26" hidden="1">
      <c r="A46" s="79" t="s">
        <v>168</v>
      </c>
      <c r="B46" s="90"/>
      <c r="C46" s="90"/>
      <c r="D46" s="90"/>
      <c r="E46" s="90"/>
      <c r="F46" s="90"/>
      <c r="G46" s="90"/>
      <c r="H46" s="90"/>
      <c r="I46" s="90"/>
      <c r="J46" s="90"/>
      <c r="K46" s="90"/>
      <c r="L46" s="90"/>
      <c r="M46" s="90"/>
      <c r="N46" s="90"/>
      <c r="O46" s="90"/>
      <c r="P46" s="90"/>
      <c r="Q46" s="90"/>
      <c r="R46" s="90"/>
      <c r="S46" s="90"/>
      <c r="T46" s="90"/>
      <c r="U46" s="90"/>
      <c r="V46" s="90"/>
      <c r="W46" s="90"/>
      <c r="X46" s="90"/>
      <c r="Y46" s="90"/>
      <c r="Z46" s="90"/>
    </row>
    <row r="47" spans="1:26" hidden="1">
      <c r="A47" s="79" t="s">
        <v>169</v>
      </c>
      <c r="B47" s="90"/>
      <c r="C47" s="90"/>
      <c r="D47" s="90"/>
      <c r="E47" s="90"/>
      <c r="F47" s="90"/>
      <c r="G47" s="90"/>
      <c r="H47" s="90"/>
      <c r="I47" s="90"/>
      <c r="J47" s="90"/>
      <c r="K47" s="90"/>
      <c r="L47" s="90"/>
      <c r="M47" s="90"/>
      <c r="N47" s="90"/>
      <c r="O47" s="90"/>
      <c r="P47" s="90"/>
      <c r="Q47" s="90"/>
      <c r="R47" s="90"/>
      <c r="S47" s="90"/>
      <c r="T47" s="90"/>
      <c r="U47" s="90"/>
      <c r="V47" s="90"/>
      <c r="W47" s="90"/>
      <c r="X47" s="90"/>
      <c r="Y47" s="90"/>
      <c r="Z47" s="90"/>
    </row>
    <row r="48" spans="1:26" hidden="1">
      <c r="A48" s="79" t="s">
        <v>170</v>
      </c>
      <c r="B48" s="90"/>
      <c r="C48" s="90"/>
      <c r="D48" s="90"/>
      <c r="E48" s="90"/>
      <c r="F48" s="90"/>
      <c r="G48" s="90"/>
      <c r="H48" s="90"/>
      <c r="I48" s="90"/>
      <c r="J48" s="90"/>
      <c r="K48" s="90"/>
      <c r="L48" s="90"/>
      <c r="M48" s="90"/>
      <c r="N48" s="90"/>
      <c r="O48" s="90"/>
      <c r="P48" s="90"/>
      <c r="Q48" s="90"/>
      <c r="R48" s="90"/>
      <c r="S48" s="90"/>
      <c r="T48" s="90"/>
      <c r="U48" s="90"/>
      <c r="V48" s="90"/>
      <c r="W48" s="90"/>
      <c r="X48" s="90"/>
      <c r="Y48" s="90"/>
      <c r="Z48" s="90"/>
    </row>
    <row r="49" spans="1:26" hidden="1">
      <c r="A49" s="79" t="s">
        <v>171</v>
      </c>
      <c r="B49" s="90"/>
      <c r="C49" s="90"/>
      <c r="D49" s="90"/>
      <c r="E49" s="90"/>
      <c r="F49" s="90"/>
      <c r="G49" s="90"/>
      <c r="H49" s="90"/>
      <c r="I49" s="90"/>
      <c r="J49" s="90"/>
      <c r="K49" s="90"/>
      <c r="L49" s="90"/>
      <c r="M49" s="90"/>
      <c r="N49" s="90"/>
      <c r="O49" s="90"/>
      <c r="P49" s="90"/>
      <c r="Q49" s="90"/>
      <c r="R49" s="90"/>
      <c r="S49" s="90"/>
      <c r="T49" s="90"/>
      <c r="U49" s="90"/>
      <c r="V49" s="90"/>
      <c r="W49" s="90"/>
      <c r="X49" s="90"/>
      <c r="Y49" s="90"/>
      <c r="Z49" s="90"/>
    </row>
    <row r="50" spans="1:26" hidden="1">
      <c r="A50" s="79" t="s">
        <v>172</v>
      </c>
      <c r="B50" s="90"/>
      <c r="C50" s="90"/>
      <c r="D50" s="90"/>
      <c r="E50" s="90"/>
      <c r="F50" s="90"/>
      <c r="G50" s="90"/>
      <c r="H50" s="90"/>
      <c r="I50" s="90"/>
      <c r="J50" s="90"/>
      <c r="K50" s="90"/>
      <c r="L50" s="90"/>
      <c r="M50" s="90"/>
      <c r="N50" s="90"/>
      <c r="O50" s="90"/>
      <c r="P50" s="90"/>
      <c r="Q50" s="90"/>
      <c r="R50" s="90"/>
      <c r="S50" s="90"/>
      <c r="T50" s="90"/>
      <c r="U50" s="90"/>
      <c r="V50" s="90"/>
      <c r="W50" s="90"/>
      <c r="X50" s="90"/>
      <c r="Y50" s="90"/>
      <c r="Z50" s="90"/>
    </row>
    <row r="51" spans="1:26" hidden="1">
      <c r="A51" s="79" t="s">
        <v>173</v>
      </c>
      <c r="B51" s="90"/>
      <c r="C51" s="90"/>
      <c r="D51" s="90"/>
      <c r="E51" s="90"/>
      <c r="F51" s="90"/>
      <c r="G51" s="90"/>
      <c r="H51" s="90"/>
      <c r="I51" s="90"/>
      <c r="J51" s="90"/>
      <c r="K51" s="90"/>
      <c r="L51" s="90"/>
      <c r="M51" s="90"/>
      <c r="N51" s="90"/>
      <c r="O51" s="90"/>
      <c r="P51" s="90"/>
      <c r="Q51" s="90"/>
      <c r="R51" s="90"/>
      <c r="S51" s="90"/>
      <c r="T51" s="90"/>
      <c r="U51" s="90"/>
      <c r="V51" s="90"/>
      <c r="W51" s="90"/>
      <c r="X51" s="90"/>
      <c r="Y51" s="90"/>
      <c r="Z51" s="90"/>
    </row>
    <row r="52" spans="1:26" hidden="1">
      <c r="A52" s="79" t="s">
        <v>174</v>
      </c>
      <c r="B52" s="90"/>
      <c r="C52" s="90"/>
      <c r="D52" s="90"/>
      <c r="E52" s="90"/>
      <c r="F52" s="90"/>
      <c r="G52" s="90"/>
      <c r="H52" s="90"/>
      <c r="I52" s="90"/>
      <c r="J52" s="90"/>
      <c r="K52" s="90"/>
      <c r="L52" s="90"/>
      <c r="M52" s="90"/>
      <c r="N52" s="90"/>
      <c r="O52" s="90"/>
      <c r="P52" s="90"/>
      <c r="Q52" s="90"/>
      <c r="R52" s="90"/>
      <c r="S52" s="90"/>
      <c r="T52" s="90"/>
      <c r="U52" s="90"/>
      <c r="V52" s="90"/>
      <c r="W52" s="90"/>
      <c r="X52" s="90"/>
      <c r="Y52" s="90"/>
      <c r="Z52" s="90"/>
    </row>
    <row r="53" spans="1:26" hidden="1">
      <c r="A53" s="79" t="s">
        <v>175</v>
      </c>
      <c r="B53" s="90"/>
      <c r="C53" s="90"/>
      <c r="D53" s="90"/>
      <c r="E53" s="90"/>
      <c r="F53" s="90"/>
      <c r="G53" s="90"/>
      <c r="H53" s="90"/>
      <c r="I53" s="90"/>
      <c r="J53" s="90"/>
      <c r="K53" s="90"/>
      <c r="L53" s="90"/>
      <c r="M53" s="90"/>
      <c r="N53" s="90"/>
      <c r="O53" s="90"/>
      <c r="P53" s="90"/>
      <c r="Q53" s="90"/>
      <c r="R53" s="90"/>
      <c r="S53" s="90"/>
      <c r="T53" s="90"/>
      <c r="U53" s="90"/>
      <c r="V53" s="90"/>
      <c r="W53" s="90"/>
      <c r="X53" s="90"/>
      <c r="Y53" s="90"/>
      <c r="Z53" s="90"/>
    </row>
    <row r="54" spans="1:26" hidden="1">
      <c r="A54" s="79" t="s">
        <v>176</v>
      </c>
      <c r="B54" s="90"/>
      <c r="C54" s="90"/>
      <c r="D54" s="90"/>
      <c r="E54" s="90"/>
      <c r="F54" s="90"/>
      <c r="G54" s="90"/>
      <c r="H54" s="90"/>
      <c r="I54" s="90"/>
      <c r="J54" s="90"/>
      <c r="K54" s="90"/>
      <c r="L54" s="90"/>
      <c r="M54" s="90"/>
      <c r="N54" s="90"/>
      <c r="O54" s="90"/>
      <c r="P54" s="90"/>
      <c r="Q54" s="90"/>
      <c r="R54" s="90"/>
      <c r="S54" s="90"/>
      <c r="T54" s="90"/>
      <c r="U54" s="90"/>
      <c r="V54" s="90"/>
      <c r="W54" s="90"/>
      <c r="X54" s="90"/>
      <c r="Y54" s="90"/>
      <c r="Z54" s="90"/>
    </row>
    <row r="55" spans="1:26" hidden="1">
      <c r="A55" s="79" t="s">
        <v>177</v>
      </c>
      <c r="B55" s="90"/>
      <c r="C55" s="90"/>
      <c r="D55" s="90"/>
      <c r="E55" s="90"/>
      <c r="F55" s="90"/>
      <c r="G55" s="90"/>
      <c r="H55" s="90"/>
      <c r="I55" s="90"/>
      <c r="J55" s="90"/>
      <c r="K55" s="90"/>
      <c r="L55" s="90"/>
      <c r="M55" s="90"/>
      <c r="N55" s="90"/>
      <c r="O55" s="90"/>
      <c r="P55" s="90"/>
      <c r="Q55" s="90"/>
      <c r="R55" s="90"/>
      <c r="S55" s="90"/>
      <c r="T55" s="90"/>
      <c r="U55" s="90"/>
      <c r="V55" s="90"/>
      <c r="W55" s="90"/>
      <c r="X55" s="90"/>
      <c r="Y55" s="90"/>
      <c r="Z55" s="90"/>
    </row>
    <row r="56" spans="1:26" hidden="1">
      <c r="A56" s="79" t="s">
        <v>178</v>
      </c>
      <c r="B56" s="90"/>
      <c r="C56" s="90"/>
      <c r="D56" s="90"/>
      <c r="E56" s="90"/>
      <c r="F56" s="90"/>
      <c r="G56" s="90"/>
      <c r="H56" s="90"/>
      <c r="I56" s="90"/>
      <c r="J56" s="90"/>
      <c r="K56" s="90"/>
      <c r="L56" s="90"/>
      <c r="M56" s="90"/>
      <c r="N56" s="90"/>
      <c r="O56" s="90"/>
      <c r="P56" s="90"/>
      <c r="Q56" s="90"/>
      <c r="R56" s="90"/>
      <c r="S56" s="90"/>
      <c r="T56" s="90"/>
      <c r="U56" s="90"/>
      <c r="V56" s="90"/>
      <c r="W56" s="90"/>
      <c r="X56" s="90"/>
      <c r="Y56" s="90"/>
      <c r="Z56" s="90"/>
    </row>
    <row r="57" spans="1:26" hidden="1">
      <c r="A57" s="79" t="s">
        <v>179</v>
      </c>
      <c r="B57" s="90"/>
      <c r="C57" s="90"/>
      <c r="D57" s="90"/>
      <c r="E57" s="90"/>
      <c r="F57" s="90"/>
      <c r="G57" s="90"/>
      <c r="H57" s="90"/>
      <c r="I57" s="90"/>
      <c r="J57" s="90"/>
      <c r="K57" s="90"/>
      <c r="L57" s="90"/>
      <c r="M57" s="90"/>
      <c r="N57" s="90"/>
      <c r="O57" s="90"/>
      <c r="P57" s="90"/>
      <c r="Q57" s="90"/>
      <c r="R57" s="90"/>
      <c r="S57" s="90"/>
      <c r="T57" s="90"/>
      <c r="U57" s="90"/>
      <c r="V57" s="90"/>
      <c r="W57" s="90"/>
      <c r="X57" s="90"/>
      <c r="Y57" s="90"/>
      <c r="Z57" s="90"/>
    </row>
    <row r="58" spans="1:26" hidden="1">
      <c r="A58" s="79" t="s">
        <v>180</v>
      </c>
      <c r="B58" s="90"/>
      <c r="C58" s="90"/>
      <c r="D58" s="90"/>
      <c r="E58" s="90"/>
      <c r="F58" s="90"/>
      <c r="G58" s="90"/>
      <c r="H58" s="90"/>
      <c r="I58" s="90"/>
      <c r="J58" s="90"/>
      <c r="K58" s="90"/>
      <c r="L58" s="90"/>
      <c r="M58" s="90"/>
      <c r="N58" s="90"/>
      <c r="O58" s="90"/>
      <c r="P58" s="90"/>
      <c r="Q58" s="90"/>
      <c r="R58" s="90"/>
      <c r="S58" s="90"/>
      <c r="T58" s="90"/>
      <c r="U58" s="90"/>
      <c r="V58" s="90"/>
      <c r="W58" s="90"/>
      <c r="X58" s="90"/>
      <c r="Y58" s="90"/>
      <c r="Z58" s="90"/>
    </row>
    <row r="59" spans="1:26" hidden="1">
      <c r="A59" s="79" t="s">
        <v>181</v>
      </c>
      <c r="B59" s="90"/>
      <c r="C59" s="90"/>
      <c r="D59" s="90"/>
      <c r="E59" s="90"/>
      <c r="F59" s="90"/>
      <c r="G59" s="90"/>
      <c r="H59" s="90"/>
      <c r="I59" s="90"/>
      <c r="J59" s="90"/>
      <c r="K59" s="90"/>
      <c r="L59" s="90"/>
      <c r="M59" s="90"/>
      <c r="N59" s="90"/>
      <c r="O59" s="90"/>
      <c r="P59" s="90"/>
      <c r="Q59" s="90"/>
      <c r="R59" s="90"/>
      <c r="S59" s="90"/>
      <c r="T59" s="90"/>
      <c r="U59" s="90"/>
      <c r="V59" s="90"/>
      <c r="W59" s="90"/>
      <c r="X59" s="90"/>
      <c r="Y59" s="90"/>
      <c r="Z59" s="90"/>
    </row>
    <row r="60" spans="1:26" ht="12" hidden="1" customHeight="1">
      <c r="A60" s="79" t="s">
        <v>182</v>
      </c>
      <c r="B60" s="90"/>
      <c r="C60" s="90"/>
      <c r="D60" s="90"/>
      <c r="E60" s="90"/>
      <c r="F60" s="90"/>
      <c r="G60" s="90"/>
      <c r="H60" s="90"/>
      <c r="I60" s="90"/>
      <c r="J60" s="90"/>
      <c r="K60" s="90"/>
      <c r="L60" s="90"/>
      <c r="M60" s="90"/>
      <c r="N60" s="90"/>
      <c r="O60" s="90"/>
      <c r="P60" s="90"/>
      <c r="Q60" s="90"/>
      <c r="R60" s="90"/>
      <c r="S60" s="90"/>
      <c r="T60" s="90"/>
      <c r="U60" s="90"/>
      <c r="V60" s="90"/>
      <c r="W60" s="90"/>
      <c r="X60" s="90"/>
      <c r="Y60" s="90"/>
      <c r="Z60" s="90"/>
    </row>
    <row r="61" spans="1:26" hidden="1">
      <c r="A61" s="79"/>
      <c r="B61" s="90"/>
      <c r="C61" s="90"/>
      <c r="D61" s="90"/>
      <c r="E61" s="90"/>
      <c r="F61" s="90"/>
      <c r="G61" s="90"/>
      <c r="H61" s="90"/>
      <c r="I61" s="90"/>
      <c r="J61" s="90"/>
      <c r="K61" s="90"/>
      <c r="L61" s="90"/>
      <c r="M61" s="90"/>
      <c r="N61" s="90"/>
      <c r="O61" s="90"/>
      <c r="P61" s="90"/>
      <c r="Q61" s="90"/>
      <c r="R61" s="90"/>
      <c r="S61" s="90"/>
      <c r="T61" s="90"/>
      <c r="U61" s="90"/>
      <c r="V61" s="90"/>
      <c r="W61" s="90"/>
      <c r="X61" s="90"/>
      <c r="Y61" s="90"/>
      <c r="Z61" s="90"/>
    </row>
    <row r="62" spans="1:26">
      <c r="A62" s="79"/>
      <c r="B62" s="90"/>
      <c r="C62" s="90"/>
      <c r="D62" s="90"/>
      <c r="E62" s="90"/>
      <c r="F62" s="90"/>
      <c r="G62" s="90"/>
      <c r="H62" s="90"/>
      <c r="I62" s="90"/>
      <c r="J62" s="90"/>
      <c r="K62" s="90"/>
      <c r="L62" s="90"/>
      <c r="M62" s="90"/>
      <c r="N62" s="90"/>
      <c r="O62" s="90"/>
      <c r="P62" s="90"/>
      <c r="Q62" s="90"/>
      <c r="R62" s="90"/>
      <c r="S62" s="90"/>
      <c r="T62" s="90"/>
      <c r="U62" s="90"/>
      <c r="V62" s="90"/>
      <c r="W62" s="90"/>
      <c r="X62" s="90"/>
      <c r="Y62" s="90"/>
      <c r="Z62" s="90"/>
    </row>
    <row r="63" spans="1:26">
      <c r="A63" s="79"/>
      <c r="B63" s="90"/>
      <c r="C63" s="90"/>
      <c r="D63" s="90"/>
      <c r="E63" s="90"/>
      <c r="F63" s="90"/>
      <c r="G63" s="90"/>
      <c r="H63" s="90"/>
      <c r="I63" s="90"/>
      <c r="J63" s="90"/>
      <c r="K63" s="90"/>
      <c r="L63" s="90"/>
      <c r="M63" s="90"/>
      <c r="N63" s="90"/>
      <c r="O63" s="90"/>
      <c r="P63" s="90"/>
      <c r="Q63" s="90"/>
      <c r="R63" s="90"/>
      <c r="S63" s="90"/>
      <c r="T63" s="90"/>
      <c r="U63" s="90"/>
      <c r="V63" s="90"/>
      <c r="W63" s="90"/>
      <c r="X63" s="90"/>
      <c r="Y63" s="90"/>
      <c r="Z63" s="90"/>
    </row>
    <row r="64" spans="1:26">
      <c r="A64" s="79"/>
      <c r="B64" s="90"/>
      <c r="C64" s="90"/>
      <c r="D64" s="90"/>
      <c r="E64" s="90"/>
      <c r="F64" s="90"/>
      <c r="G64" s="90"/>
      <c r="H64" s="90"/>
      <c r="I64" s="90"/>
      <c r="J64" s="90"/>
      <c r="K64" s="90"/>
      <c r="L64" s="90"/>
      <c r="M64" s="90"/>
      <c r="N64" s="90"/>
      <c r="O64" s="90"/>
      <c r="P64" s="90"/>
      <c r="Q64" s="90"/>
      <c r="R64" s="90"/>
      <c r="S64" s="90"/>
      <c r="T64" s="90"/>
      <c r="U64" s="90"/>
      <c r="V64" s="90"/>
      <c r="W64" s="90"/>
      <c r="X64" s="90"/>
      <c r="Y64" s="90"/>
      <c r="Z64" s="90"/>
    </row>
    <row r="65" spans="1:26">
      <c r="A65" s="79"/>
      <c r="B65" s="90"/>
      <c r="C65" s="90"/>
      <c r="D65" s="90"/>
      <c r="E65" s="90"/>
      <c r="F65" s="90"/>
      <c r="G65" s="90"/>
      <c r="H65" s="90"/>
      <c r="I65" s="90"/>
      <c r="J65" s="90"/>
      <c r="K65" s="90"/>
      <c r="L65" s="90"/>
      <c r="M65" s="90"/>
      <c r="N65" s="90"/>
      <c r="O65" s="90"/>
      <c r="P65" s="90"/>
      <c r="Q65" s="90"/>
      <c r="R65" s="90"/>
      <c r="S65" s="90"/>
      <c r="T65" s="90"/>
      <c r="U65" s="90"/>
      <c r="V65" s="90"/>
      <c r="W65" s="90"/>
      <c r="X65" s="90"/>
      <c r="Y65" s="90"/>
      <c r="Z65" s="90"/>
    </row>
    <row r="66" spans="1:26">
      <c r="A66" s="79"/>
      <c r="B66" s="90"/>
      <c r="C66" s="90"/>
      <c r="D66" s="90"/>
      <c r="E66" s="90"/>
      <c r="F66" s="90"/>
      <c r="G66" s="90"/>
      <c r="H66" s="90"/>
      <c r="I66" s="90"/>
      <c r="J66" s="90"/>
      <c r="K66" s="90"/>
      <c r="L66" s="90"/>
      <c r="M66" s="90"/>
      <c r="N66" s="90"/>
      <c r="O66" s="90"/>
      <c r="P66" s="90"/>
      <c r="Q66" s="90"/>
      <c r="R66" s="90"/>
      <c r="S66" s="90"/>
      <c r="T66" s="90"/>
      <c r="U66" s="90"/>
      <c r="V66" s="90"/>
      <c r="W66" s="90"/>
      <c r="X66" s="90"/>
      <c r="Y66" s="90"/>
      <c r="Z66" s="90"/>
    </row>
    <row r="67" spans="1:26">
      <c r="A67" s="79"/>
      <c r="B67" s="90"/>
      <c r="C67" s="90"/>
      <c r="D67" s="90"/>
      <c r="E67" s="90"/>
      <c r="F67" s="90"/>
      <c r="G67" s="90"/>
      <c r="H67" s="90"/>
      <c r="I67" s="90"/>
      <c r="J67" s="90"/>
      <c r="K67" s="90"/>
      <c r="L67" s="90"/>
      <c r="M67" s="90"/>
      <c r="N67" s="90"/>
      <c r="O67" s="90"/>
      <c r="P67" s="90"/>
      <c r="Q67" s="90"/>
      <c r="R67" s="90"/>
      <c r="S67" s="90"/>
      <c r="T67" s="90"/>
      <c r="U67" s="90"/>
      <c r="V67" s="90"/>
      <c r="W67" s="90"/>
      <c r="X67" s="90"/>
      <c r="Y67" s="90"/>
      <c r="Z67" s="90"/>
    </row>
    <row r="68" spans="1:26">
      <c r="A68" s="79"/>
      <c r="B68" s="90"/>
      <c r="C68" s="90"/>
      <c r="D68" s="90"/>
      <c r="E68" s="90"/>
      <c r="F68" s="90"/>
      <c r="G68" s="90"/>
      <c r="H68" s="90"/>
      <c r="I68" s="90"/>
      <c r="J68" s="90"/>
      <c r="K68" s="90"/>
      <c r="L68" s="90"/>
      <c r="M68" s="90"/>
      <c r="N68" s="90"/>
      <c r="O68" s="90"/>
      <c r="P68" s="90"/>
      <c r="Q68" s="90"/>
      <c r="R68" s="90"/>
      <c r="S68" s="90"/>
      <c r="T68" s="90"/>
      <c r="U68" s="90"/>
      <c r="V68" s="90"/>
      <c r="W68" s="90"/>
      <c r="X68" s="90"/>
      <c r="Y68" s="90"/>
      <c r="Z68" s="90"/>
    </row>
    <row r="69" spans="1:26">
      <c r="A69" s="79"/>
      <c r="B69" s="90"/>
      <c r="C69" s="90"/>
      <c r="D69" s="90"/>
      <c r="E69" s="90"/>
      <c r="F69" s="90"/>
      <c r="G69" s="90"/>
      <c r="H69" s="90"/>
      <c r="I69" s="90"/>
      <c r="J69" s="90"/>
      <c r="K69" s="90"/>
      <c r="L69" s="90"/>
      <c r="M69" s="90"/>
      <c r="N69" s="90"/>
      <c r="O69" s="90"/>
      <c r="P69" s="90"/>
      <c r="Q69" s="90"/>
      <c r="R69" s="90"/>
      <c r="S69" s="90"/>
      <c r="T69" s="90"/>
      <c r="U69" s="90"/>
      <c r="V69" s="90"/>
      <c r="W69" s="90"/>
      <c r="X69" s="90"/>
      <c r="Y69" s="90"/>
      <c r="Z69" s="90"/>
    </row>
    <row r="70" spans="1:26">
      <c r="A70" s="79"/>
      <c r="B70" s="90"/>
      <c r="C70" s="90"/>
      <c r="D70" s="90"/>
      <c r="E70" s="90"/>
      <c r="F70" s="90"/>
      <c r="G70" s="90"/>
      <c r="H70" s="90"/>
      <c r="I70" s="90"/>
      <c r="J70" s="90"/>
      <c r="K70" s="90"/>
      <c r="L70" s="90"/>
      <c r="M70" s="90"/>
      <c r="N70" s="90"/>
      <c r="O70" s="90"/>
      <c r="P70" s="90"/>
      <c r="Q70" s="90"/>
      <c r="R70" s="90"/>
      <c r="S70" s="90"/>
      <c r="T70" s="90"/>
      <c r="U70" s="90"/>
      <c r="V70" s="90"/>
      <c r="W70" s="90"/>
      <c r="X70" s="90"/>
      <c r="Y70" s="90"/>
      <c r="Z70" s="90"/>
    </row>
    <row r="71" spans="1:26">
      <c r="A71" s="79"/>
      <c r="B71" s="90"/>
      <c r="C71" s="90"/>
      <c r="D71" s="90"/>
      <c r="E71" s="90"/>
      <c r="F71" s="90"/>
      <c r="G71" s="90"/>
      <c r="H71" s="90"/>
      <c r="I71" s="90"/>
      <c r="J71" s="90"/>
      <c r="K71" s="90"/>
      <c r="L71" s="90"/>
      <c r="M71" s="90"/>
      <c r="N71" s="90"/>
      <c r="O71" s="90"/>
      <c r="P71" s="90"/>
      <c r="Q71" s="90"/>
      <c r="R71" s="90"/>
      <c r="S71" s="90"/>
      <c r="T71" s="90"/>
      <c r="U71" s="90"/>
      <c r="V71" s="90"/>
      <c r="W71" s="90"/>
      <c r="X71" s="90"/>
      <c r="Y71" s="90"/>
      <c r="Z71" s="90"/>
    </row>
    <row r="72" spans="1:26">
      <c r="A72" s="79"/>
      <c r="B72" s="90"/>
      <c r="C72" s="90"/>
      <c r="D72" s="90"/>
      <c r="E72" s="90"/>
      <c r="F72" s="90"/>
      <c r="G72" s="90"/>
      <c r="H72" s="90"/>
      <c r="I72" s="90"/>
      <c r="J72" s="90"/>
      <c r="K72" s="90"/>
      <c r="L72" s="90"/>
      <c r="M72" s="90"/>
      <c r="N72" s="90"/>
      <c r="O72" s="90"/>
      <c r="P72" s="90"/>
      <c r="Q72" s="90"/>
      <c r="R72" s="90"/>
      <c r="S72" s="90"/>
      <c r="T72" s="90"/>
      <c r="U72" s="90"/>
      <c r="V72" s="90"/>
      <c r="W72" s="90"/>
      <c r="X72" s="90"/>
      <c r="Y72" s="90"/>
      <c r="Z72" s="90"/>
    </row>
    <row r="73" spans="1:26">
      <c r="A73" s="79"/>
      <c r="B73" s="90"/>
      <c r="C73" s="90"/>
      <c r="D73" s="90"/>
      <c r="E73" s="90"/>
      <c r="F73" s="90"/>
      <c r="G73" s="90"/>
      <c r="H73" s="90"/>
      <c r="I73" s="90"/>
      <c r="J73" s="90"/>
      <c r="K73" s="90"/>
      <c r="L73" s="90"/>
      <c r="M73" s="90"/>
      <c r="N73" s="90"/>
      <c r="O73" s="90"/>
      <c r="P73" s="90"/>
      <c r="Q73" s="90"/>
      <c r="R73" s="90"/>
      <c r="S73" s="90"/>
      <c r="T73" s="90"/>
      <c r="U73" s="90"/>
      <c r="V73" s="90"/>
      <c r="W73" s="90"/>
      <c r="X73" s="90"/>
      <c r="Y73" s="90"/>
      <c r="Z73" s="90"/>
    </row>
    <row r="74" spans="1:26">
      <c r="A74" s="79"/>
      <c r="B74" s="90"/>
      <c r="C74" s="90"/>
      <c r="D74" s="90"/>
      <c r="E74" s="90"/>
      <c r="F74" s="90"/>
      <c r="G74" s="90"/>
      <c r="H74" s="90"/>
      <c r="I74" s="90"/>
      <c r="J74" s="90"/>
      <c r="K74" s="90"/>
      <c r="L74" s="90"/>
      <c r="M74" s="90"/>
      <c r="N74" s="90"/>
      <c r="O74" s="90"/>
      <c r="P74" s="90"/>
      <c r="Q74" s="90"/>
      <c r="R74" s="90"/>
      <c r="S74" s="90"/>
      <c r="T74" s="90"/>
      <c r="U74" s="90"/>
      <c r="V74" s="90"/>
      <c r="W74" s="90"/>
      <c r="X74" s="90"/>
      <c r="Y74" s="90"/>
      <c r="Z74" s="90"/>
    </row>
    <row r="75" spans="1:26">
      <c r="A75" s="79"/>
      <c r="B75" s="90"/>
      <c r="C75" s="90"/>
      <c r="D75" s="90"/>
      <c r="E75" s="90"/>
      <c r="F75" s="90"/>
      <c r="G75" s="90"/>
      <c r="H75" s="90"/>
      <c r="I75" s="90"/>
      <c r="J75" s="90"/>
      <c r="K75" s="90"/>
      <c r="L75" s="90"/>
      <c r="M75" s="90"/>
      <c r="N75" s="90"/>
      <c r="O75" s="90"/>
      <c r="P75" s="90"/>
      <c r="Q75" s="90"/>
      <c r="R75" s="90"/>
      <c r="S75" s="90"/>
      <c r="T75" s="90"/>
      <c r="U75" s="90"/>
      <c r="V75" s="90"/>
      <c r="W75" s="90"/>
      <c r="X75" s="90"/>
      <c r="Y75" s="90"/>
      <c r="Z75" s="90"/>
    </row>
  </sheetData>
  <sheetProtection password="C5CB" sheet="1" selectLockedCells="1"/>
  <protectedRanges>
    <protectedRange sqref="E38:F38" name="Range15"/>
    <protectedRange sqref="F31:J31 C9:D9 C21:D21 J27:J28 C31:D31 J11 F9:J9 J16:J17 J37:J38 J23 J33 F21:J21" name="Range1"/>
  </protectedRanges>
  <mergeCells count="12">
    <mergeCell ref="H43:I43"/>
    <mergeCell ref="H44:I44"/>
    <mergeCell ref="B9:H9"/>
    <mergeCell ref="B31:I31"/>
    <mergeCell ref="B30:F30"/>
    <mergeCell ref="B35:I35"/>
    <mergeCell ref="B4:J4"/>
    <mergeCell ref="B25:I25"/>
    <mergeCell ref="B14:J14"/>
    <mergeCell ref="B7:F7"/>
    <mergeCell ref="B19:F19"/>
    <mergeCell ref="B21:I21"/>
  </mergeCells>
  <phoneticPr fontId="8" type="noConversion"/>
  <printOptions horizontalCentered="1"/>
  <pageMargins left="0.74803149606299213" right="0.74803149606299213" top="0.98425196850393704" bottom="0.98425196850393704" header="0.51181102362204722" footer="0.51181102362204722"/>
  <pageSetup paperSize="9" scale="94" orientation="portrait" r:id="rId1"/>
  <headerFooter scaleWithDoc="0" alignWithMargins="0">
    <oddHeader>&amp;L&amp;"-,Regular"&amp;8&amp;F&amp;R&amp;"-,Regular"&amp;8&amp;A
__________________________________________________________________________</oddHeader>
    <oddFooter>&amp;L&amp;"-,Regular"&amp;8_________________________________________________________________________________
NZ Transport Agency’s Economic evaluation manual
Effective from Jul 2013</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82"/>
  <sheetViews>
    <sheetView zoomScaleNormal="100" workbookViewId="0">
      <selection activeCell="N9" sqref="N9:Q9"/>
    </sheetView>
  </sheetViews>
  <sheetFormatPr defaultColWidth="9.140625" defaultRowHeight="12.75"/>
  <cols>
    <col min="1" max="1" width="3.7109375" style="37" customWidth="1"/>
    <col min="2" max="3" width="9.28515625" style="38" customWidth="1"/>
    <col min="4" max="4" width="6.28515625" style="38" customWidth="1"/>
    <col min="5" max="7" width="4.42578125" style="38" customWidth="1"/>
    <col min="8" max="8" width="4.85546875" style="38" customWidth="1"/>
    <col min="9" max="9" width="6.7109375" style="38" customWidth="1"/>
    <col min="10" max="17" width="5.140625" style="41" customWidth="1"/>
    <col min="18" max="18" width="2.7109375" style="38" customWidth="1"/>
    <col min="19" max="19" width="25.85546875" style="38" customWidth="1"/>
    <col min="20" max="20" width="9.85546875" style="38" customWidth="1"/>
    <col min="21" max="16384" width="9.140625" style="38"/>
  </cols>
  <sheetData>
    <row r="1" spans="1:26" s="47" customFormat="1" ht="16.5" customHeight="1">
      <c r="B1" s="46"/>
      <c r="C1" s="46"/>
      <c r="D1" s="40"/>
      <c r="E1" s="40"/>
      <c r="F1" s="40"/>
      <c r="G1" s="40"/>
      <c r="H1" s="40"/>
      <c r="I1" s="40"/>
      <c r="J1" s="4"/>
      <c r="K1" s="4"/>
      <c r="L1" s="4"/>
      <c r="M1" s="4"/>
      <c r="N1" s="4"/>
      <c r="O1" s="4"/>
      <c r="P1" s="4"/>
      <c r="Q1" s="4"/>
      <c r="R1" s="48"/>
      <c r="S1" s="41" t="s">
        <v>359</v>
      </c>
    </row>
    <row r="2" spans="1:26" ht="19.5" customHeight="1">
      <c r="A2" s="82" t="s">
        <v>402</v>
      </c>
      <c r="B2" s="53"/>
      <c r="C2" s="53"/>
      <c r="D2" s="41"/>
      <c r="E2" s="41"/>
      <c r="F2" s="41"/>
      <c r="G2" s="41"/>
      <c r="H2" s="41"/>
      <c r="I2" s="41"/>
      <c r="O2" s="127" t="str">
        <f>'SP11-1'!$L$2</f>
        <v>Spreadsheet v 3 (27-March-14)</v>
      </c>
      <c r="R2" s="41"/>
      <c r="S2" s="139" t="s">
        <v>360</v>
      </c>
      <c r="T2" s="41"/>
      <c r="U2" s="41"/>
      <c r="V2" s="41"/>
      <c r="W2" s="41"/>
      <c r="X2" s="41"/>
      <c r="Y2" s="41"/>
      <c r="Z2" s="41"/>
    </row>
    <row r="3" spans="1:26" s="47" customFormat="1" ht="11.25" customHeight="1">
      <c r="A3" s="55" t="s">
        <v>403</v>
      </c>
      <c r="B3" s="55"/>
      <c r="C3" s="55"/>
      <c r="D3" s="4"/>
      <c r="E3" s="4"/>
      <c r="F3" s="4"/>
      <c r="G3" s="4"/>
      <c r="H3" s="4"/>
      <c r="I3" s="4"/>
      <c r="J3" s="4"/>
      <c r="K3" s="4"/>
      <c r="L3" s="4"/>
      <c r="M3" s="4"/>
      <c r="N3" s="4"/>
      <c r="O3" s="4"/>
      <c r="P3" s="4"/>
      <c r="Q3" s="4"/>
      <c r="R3" s="54"/>
      <c r="S3" s="41"/>
      <c r="T3" s="41"/>
      <c r="U3" s="41"/>
      <c r="V3" s="41"/>
      <c r="W3" s="41"/>
      <c r="X3" s="41"/>
      <c r="Y3" s="41"/>
      <c r="Z3" s="41"/>
    </row>
    <row r="4" spans="1:26" s="135" customFormat="1" ht="66.75" customHeight="1">
      <c r="A4" s="133"/>
      <c r="B4" s="413" t="s">
        <v>406</v>
      </c>
      <c r="C4" s="413"/>
      <c r="D4" s="413"/>
      <c r="E4" s="413"/>
      <c r="F4" s="413"/>
      <c r="G4" s="413"/>
      <c r="H4" s="413"/>
      <c r="I4" s="413"/>
      <c r="J4" s="413"/>
      <c r="K4" s="413"/>
      <c r="L4" s="413"/>
      <c r="M4" s="413"/>
      <c r="N4" s="413"/>
      <c r="O4" s="413"/>
      <c r="P4" s="413"/>
      <c r="Q4" s="413"/>
      <c r="R4" s="134"/>
      <c r="S4" s="134"/>
      <c r="T4" s="134"/>
      <c r="U4" s="134"/>
      <c r="V4" s="134"/>
      <c r="W4" s="134"/>
      <c r="X4" s="134"/>
      <c r="Y4" s="134"/>
    </row>
    <row r="5" spans="1:26" s="47" customFormat="1" ht="11.25" customHeight="1">
      <c r="A5" s="36"/>
      <c r="B5" s="36"/>
      <c r="C5" s="36"/>
      <c r="D5" s="4"/>
      <c r="E5" s="4"/>
      <c r="F5" s="4"/>
      <c r="G5" s="4"/>
      <c r="H5" s="4"/>
      <c r="I5" s="4"/>
      <c r="J5" s="4"/>
      <c r="K5" s="4"/>
      <c r="L5" s="4"/>
      <c r="M5" s="4"/>
      <c r="N5" s="4"/>
      <c r="O5" s="4"/>
      <c r="P5" s="4"/>
      <c r="Q5" s="4"/>
      <c r="R5" s="54"/>
      <c r="S5" s="41"/>
      <c r="T5" s="41"/>
      <c r="U5" s="41"/>
      <c r="V5" s="41"/>
      <c r="W5" s="41"/>
      <c r="X5" s="41"/>
      <c r="Y5" s="41"/>
      <c r="Z5" s="41"/>
    </row>
    <row r="6" spans="1:26" s="47" customFormat="1" ht="3.75" customHeight="1">
      <c r="A6" s="56"/>
      <c r="B6" s="56"/>
      <c r="C6" s="56"/>
      <c r="D6" s="57"/>
      <c r="E6" s="57"/>
      <c r="F6" s="57"/>
      <c r="G6" s="57"/>
      <c r="H6" s="57"/>
      <c r="I6" s="57"/>
      <c r="J6" s="57"/>
      <c r="K6" s="57"/>
      <c r="L6" s="57"/>
      <c r="M6" s="57"/>
      <c r="N6" s="57"/>
      <c r="O6" s="57"/>
      <c r="P6" s="57"/>
      <c r="Q6" s="57"/>
      <c r="R6" s="57"/>
      <c r="S6" s="41"/>
      <c r="T6" s="41"/>
      <c r="U6" s="41"/>
      <c r="V6" s="41"/>
      <c r="W6" s="41"/>
      <c r="X6" s="41"/>
      <c r="Y6" s="41"/>
      <c r="Z6" s="41"/>
    </row>
    <row r="7" spans="1:26" ht="19.5" customHeight="1" thickBot="1">
      <c r="A7" s="58"/>
      <c r="B7" s="57" t="s">
        <v>33</v>
      </c>
      <c r="C7" s="57"/>
      <c r="D7" s="57"/>
      <c r="E7" s="300"/>
      <c r="F7" s="300"/>
      <c r="G7" s="300"/>
      <c r="H7" s="300"/>
      <c r="I7" s="60"/>
      <c r="J7" s="57"/>
      <c r="K7" s="57"/>
      <c r="L7" s="57"/>
      <c r="M7" s="72" t="s">
        <v>223</v>
      </c>
      <c r="N7" s="300"/>
      <c r="O7" s="300"/>
      <c r="P7" s="300"/>
      <c r="Q7" s="300"/>
      <c r="R7" s="56"/>
      <c r="S7" s="41"/>
      <c r="T7" s="41"/>
      <c r="U7" s="41"/>
      <c r="V7" s="41"/>
      <c r="W7" s="41"/>
      <c r="X7" s="41"/>
      <c r="Y7" s="41"/>
      <c r="Z7" s="41"/>
    </row>
    <row r="8" spans="1:26" ht="19.5" customHeight="1" thickTop="1" thickBot="1">
      <c r="A8" s="58">
        <v>1</v>
      </c>
      <c r="B8" s="57" t="s">
        <v>308</v>
      </c>
      <c r="C8" s="57"/>
      <c r="D8" s="57"/>
      <c r="E8" s="324"/>
      <c r="F8" s="324"/>
      <c r="G8" s="324"/>
      <c r="H8" s="324"/>
      <c r="I8" s="57"/>
      <c r="J8" s="57"/>
      <c r="K8" s="57"/>
      <c r="L8" s="57"/>
      <c r="M8" s="72" t="s">
        <v>224</v>
      </c>
      <c r="N8" s="324"/>
      <c r="O8" s="324"/>
      <c r="P8" s="324"/>
      <c r="Q8" s="324"/>
      <c r="R8" s="56"/>
      <c r="S8" s="41"/>
      <c r="T8" s="41"/>
      <c r="U8" s="41"/>
      <c r="V8" s="41"/>
      <c r="W8" s="41"/>
      <c r="X8" s="41"/>
      <c r="Y8" s="41"/>
      <c r="Z8" s="41"/>
    </row>
    <row r="9" spans="1:26" ht="19.5" customHeight="1" thickTop="1" thickBot="1">
      <c r="A9" s="58"/>
      <c r="B9" s="57" t="s">
        <v>225</v>
      </c>
      <c r="C9" s="57"/>
      <c r="D9" s="57"/>
      <c r="E9" s="324"/>
      <c r="F9" s="324"/>
      <c r="G9" s="324"/>
      <c r="H9" s="324"/>
      <c r="I9" s="57"/>
      <c r="J9" s="57"/>
      <c r="K9" s="57"/>
      <c r="L9" s="57"/>
      <c r="M9" s="72" t="s">
        <v>47</v>
      </c>
      <c r="N9" s="437"/>
      <c r="O9" s="437"/>
      <c r="P9" s="437"/>
      <c r="Q9" s="437"/>
      <c r="R9" s="56"/>
      <c r="S9" s="41"/>
      <c r="T9" s="41"/>
      <c r="U9" s="41"/>
      <c r="V9" s="41"/>
      <c r="W9" s="41"/>
      <c r="X9" s="41"/>
      <c r="Y9" s="41"/>
      <c r="Z9" s="41"/>
    </row>
    <row r="10" spans="1:26" ht="19.5" customHeight="1" thickTop="1">
      <c r="A10" s="58">
        <v>2</v>
      </c>
      <c r="B10" s="57" t="s">
        <v>226</v>
      </c>
      <c r="C10" s="57"/>
      <c r="D10" s="57"/>
      <c r="E10" s="445"/>
      <c r="F10" s="445"/>
      <c r="G10" s="445"/>
      <c r="H10" s="445"/>
      <c r="I10" s="57"/>
      <c r="J10" s="57"/>
      <c r="K10" s="57"/>
      <c r="L10" s="57"/>
      <c r="M10" s="57"/>
      <c r="N10" s="57"/>
      <c r="O10" s="57"/>
      <c r="P10" s="57"/>
      <c r="Q10" s="57"/>
      <c r="R10" s="56"/>
      <c r="S10" s="41"/>
      <c r="T10" s="41"/>
      <c r="U10" s="41"/>
      <c r="V10" s="41"/>
      <c r="W10" s="41"/>
      <c r="X10" s="41"/>
      <c r="Y10" s="41"/>
      <c r="Z10" s="41"/>
    </row>
    <row r="11" spans="1:26" ht="3.75" customHeight="1">
      <c r="A11" s="58"/>
      <c r="B11" s="57"/>
      <c r="C11" s="57"/>
      <c r="D11" s="57"/>
      <c r="E11" s="57"/>
      <c r="F11" s="72"/>
      <c r="G11" s="57"/>
      <c r="H11" s="57"/>
      <c r="I11" s="57"/>
      <c r="J11" s="57"/>
      <c r="K11" s="57"/>
      <c r="L11" s="57"/>
      <c r="M11" s="72"/>
      <c r="N11" s="57"/>
      <c r="O11" s="57"/>
      <c r="P11" s="57"/>
      <c r="Q11" s="57"/>
      <c r="R11" s="56"/>
      <c r="S11" s="41"/>
      <c r="T11" s="41"/>
      <c r="U11" s="41"/>
      <c r="V11" s="41"/>
      <c r="W11" s="41"/>
      <c r="X11" s="41"/>
      <c r="Y11" s="41"/>
      <c r="Z11" s="41"/>
    </row>
    <row r="12" spans="1:26" ht="14.25" customHeight="1">
      <c r="A12" s="58"/>
      <c r="B12" s="446" t="s">
        <v>302</v>
      </c>
      <c r="C12" s="447"/>
      <c r="D12" s="447"/>
      <c r="E12" s="447"/>
      <c r="F12" s="447"/>
      <c r="G12" s="447"/>
      <c r="H12" s="447"/>
      <c r="I12" s="447"/>
      <c r="J12" s="438" t="s">
        <v>243</v>
      </c>
      <c r="K12" s="438"/>
      <c r="L12" s="438"/>
      <c r="M12" s="438"/>
      <c r="N12" s="438"/>
      <c r="O12" s="438"/>
      <c r="P12" s="438"/>
      <c r="Q12" s="439"/>
      <c r="R12" s="56"/>
      <c r="S12" s="427" t="s">
        <v>404</v>
      </c>
      <c r="T12" s="427"/>
      <c r="U12" s="427"/>
      <c r="V12" s="427"/>
      <c r="W12" s="427"/>
      <c r="X12" s="41"/>
      <c r="Y12" s="41"/>
      <c r="Z12" s="41"/>
    </row>
    <row r="13" spans="1:26" ht="24.75" customHeight="1">
      <c r="A13" s="58"/>
      <c r="B13" s="448"/>
      <c r="C13" s="449"/>
      <c r="D13" s="449"/>
      <c r="E13" s="449"/>
      <c r="F13" s="449"/>
      <c r="G13" s="449"/>
      <c r="H13" s="449"/>
      <c r="I13" s="449"/>
      <c r="J13" s="433" t="s">
        <v>34</v>
      </c>
      <c r="K13" s="433"/>
      <c r="L13" s="433" t="s">
        <v>35</v>
      </c>
      <c r="M13" s="433"/>
      <c r="N13" s="433" t="s">
        <v>36</v>
      </c>
      <c r="O13" s="433"/>
      <c r="P13" s="440" t="s">
        <v>227</v>
      </c>
      <c r="Q13" s="441"/>
      <c r="R13" s="56"/>
      <c r="S13" s="427"/>
      <c r="T13" s="427"/>
      <c r="U13" s="427"/>
      <c r="V13" s="427"/>
      <c r="W13" s="427"/>
      <c r="X13" s="41"/>
      <c r="Y13" s="41"/>
      <c r="Z13" s="41"/>
    </row>
    <row r="14" spans="1:26" ht="14.25" customHeight="1">
      <c r="A14" s="58">
        <v>3</v>
      </c>
      <c r="B14" s="399" t="s">
        <v>381</v>
      </c>
      <c r="C14" s="399"/>
      <c r="D14" s="399"/>
      <c r="E14" s="399"/>
      <c r="F14" s="399"/>
      <c r="G14" s="399"/>
      <c r="H14" s="399"/>
      <c r="I14" s="400"/>
      <c r="J14" s="415"/>
      <c r="K14" s="442"/>
      <c r="L14" s="442"/>
      <c r="M14" s="442"/>
      <c r="N14" s="442"/>
      <c r="O14" s="442"/>
      <c r="P14" s="442"/>
      <c r="Q14" s="416"/>
      <c r="R14" s="56"/>
      <c r="S14" s="110" t="s">
        <v>110</v>
      </c>
      <c r="T14" s="53"/>
      <c r="U14" s="41"/>
      <c r="V14" s="41"/>
      <c r="W14" s="41"/>
      <c r="X14" s="41"/>
      <c r="Y14" s="41"/>
      <c r="Z14" s="41"/>
    </row>
    <row r="15" spans="1:26" ht="14.25" customHeight="1">
      <c r="A15" s="58">
        <v>4</v>
      </c>
      <c r="B15" s="406" t="s">
        <v>382</v>
      </c>
      <c r="C15" s="406"/>
      <c r="D15" s="406"/>
      <c r="E15" s="406"/>
      <c r="F15" s="406"/>
      <c r="G15" s="406"/>
      <c r="H15" s="406"/>
      <c r="I15" s="407"/>
      <c r="J15" s="415"/>
      <c r="K15" s="416"/>
      <c r="L15" s="415"/>
      <c r="M15" s="416"/>
      <c r="N15" s="415"/>
      <c r="O15" s="416"/>
      <c r="P15" s="415"/>
      <c r="Q15" s="416"/>
      <c r="R15" s="56"/>
      <c r="S15" s="422"/>
      <c r="T15" s="348"/>
      <c r="U15" s="86" t="s">
        <v>34</v>
      </c>
      <c r="V15" s="86" t="s">
        <v>35</v>
      </c>
      <c r="W15" s="87" t="s">
        <v>36</v>
      </c>
      <c r="X15" s="41"/>
      <c r="Y15" s="41"/>
      <c r="Z15" s="41"/>
    </row>
    <row r="16" spans="1:26" ht="14.25" customHeight="1">
      <c r="A16" s="58">
        <v>5</v>
      </c>
      <c r="B16" s="406" t="s">
        <v>228</v>
      </c>
      <c r="C16" s="406"/>
      <c r="D16" s="406"/>
      <c r="E16" s="406"/>
      <c r="F16" s="406"/>
      <c r="G16" s="406"/>
      <c r="H16" s="406"/>
      <c r="I16" s="407"/>
      <c r="J16" s="420" t="str">
        <f>IF(E7="","",IF(Tables!C227="",0,Tables!C227))</f>
        <v/>
      </c>
      <c r="K16" s="421"/>
      <c r="L16" s="420" t="str">
        <f>IF(E7="","",IF(Tables!D227="",0,Tables!D227))</f>
        <v/>
      </c>
      <c r="M16" s="421"/>
      <c r="N16" s="434">
        <v>1</v>
      </c>
      <c r="O16" s="435"/>
      <c r="P16" s="443">
        <v>1</v>
      </c>
      <c r="Q16" s="444"/>
      <c r="R16" s="56"/>
      <c r="S16" s="424" t="s">
        <v>112</v>
      </c>
      <c r="T16" s="111" t="s">
        <v>113</v>
      </c>
      <c r="U16" s="432">
        <v>1</v>
      </c>
      <c r="V16" s="432">
        <v>1.5</v>
      </c>
      <c r="W16" s="111">
        <v>4.5</v>
      </c>
      <c r="X16" s="41"/>
      <c r="Y16" s="41"/>
      <c r="Z16" s="41"/>
    </row>
    <row r="17" spans="1:26" ht="16.5" customHeight="1">
      <c r="A17" s="58">
        <v>6</v>
      </c>
      <c r="B17" s="369" t="s">
        <v>383</v>
      </c>
      <c r="C17" s="369"/>
      <c r="D17" s="369"/>
      <c r="E17" s="369"/>
      <c r="F17" s="369"/>
      <c r="G17" s="369"/>
      <c r="H17" s="369"/>
      <c r="I17" s="417"/>
      <c r="J17" s="420" t="str">
        <f>IF(J16="","",IF(J15="","",IF(L15="","",(L15+J15)*J16)))</f>
        <v/>
      </c>
      <c r="K17" s="421"/>
      <c r="L17" s="420" t="str">
        <f>IF(L16="","",IF(J15="","",IF(L15="","",(L15+J15)*L16)))</f>
        <v/>
      </c>
      <c r="M17" s="421"/>
      <c r="N17" s="420" t="str">
        <f>IF(N15="","",N15*N16)</f>
        <v/>
      </c>
      <c r="O17" s="421"/>
      <c r="P17" s="420" t="str">
        <f>IF(P15="","",P15*P16)</f>
        <v/>
      </c>
      <c r="Q17" s="421"/>
      <c r="R17" s="56"/>
      <c r="S17" s="425"/>
      <c r="T17" s="112" t="s">
        <v>114</v>
      </c>
      <c r="U17" s="430"/>
      <c r="V17" s="430"/>
      <c r="W17" s="112">
        <v>2.75</v>
      </c>
      <c r="X17" s="41"/>
      <c r="Y17" s="41"/>
      <c r="Z17" s="41"/>
    </row>
    <row r="18" spans="1:26" ht="14.25" customHeight="1">
      <c r="A18" s="58">
        <v>7</v>
      </c>
      <c r="B18" s="406" t="s">
        <v>384</v>
      </c>
      <c r="C18" s="406"/>
      <c r="D18" s="406"/>
      <c r="E18" s="406"/>
      <c r="F18" s="406"/>
      <c r="G18" s="406"/>
      <c r="H18" s="406"/>
      <c r="I18" s="407"/>
      <c r="J18" s="418" t="str">
        <f>IF($J14="","",IF(J17="","",J17/$J14))</f>
        <v/>
      </c>
      <c r="K18" s="419"/>
      <c r="L18" s="418" t="str">
        <f>IF($J14="","",IF(L17="","",L17/$J14))</f>
        <v/>
      </c>
      <c r="M18" s="419"/>
      <c r="N18" s="418" t="str">
        <f>IF($J14="","",IF(N17="","",N17/$J14))</f>
        <v/>
      </c>
      <c r="O18" s="419"/>
      <c r="P18" s="418" t="str">
        <f>IF($J14="","",IF(P17="","",P17/$J14))</f>
        <v/>
      </c>
      <c r="Q18" s="419"/>
      <c r="R18" s="56"/>
      <c r="S18" s="425" t="s">
        <v>115</v>
      </c>
      <c r="T18" s="112" t="s">
        <v>113</v>
      </c>
      <c r="U18" s="430">
        <v>1</v>
      </c>
      <c r="V18" s="430">
        <v>1.9</v>
      </c>
      <c r="W18" s="112">
        <v>7.5</v>
      </c>
      <c r="X18" s="41"/>
      <c r="Y18" s="41"/>
      <c r="Z18" s="41"/>
    </row>
    <row r="19" spans="1:26" ht="14.25" customHeight="1">
      <c r="A19" s="58">
        <v>8</v>
      </c>
      <c r="B19" s="406" t="s">
        <v>385</v>
      </c>
      <c r="C19" s="406"/>
      <c r="D19" s="406"/>
      <c r="E19" s="406"/>
      <c r="F19" s="406"/>
      <c r="G19" s="406"/>
      <c r="H19" s="406"/>
      <c r="I19" s="407"/>
      <c r="J19" s="418">
        <f ca="1">Tables!C8</f>
        <v>0.83</v>
      </c>
      <c r="K19" s="431"/>
      <c r="L19" s="431"/>
      <c r="M19" s="431"/>
      <c r="N19" s="431"/>
      <c r="O19" s="431"/>
      <c r="P19" s="431"/>
      <c r="Q19" s="419"/>
      <c r="R19" s="56"/>
      <c r="S19" s="425"/>
      <c r="T19" s="112" t="s">
        <v>114</v>
      </c>
      <c r="U19" s="430"/>
      <c r="V19" s="430"/>
      <c r="W19" s="112">
        <v>4.5</v>
      </c>
      <c r="X19" s="41"/>
      <c r="Y19" s="41"/>
      <c r="Z19" s="41"/>
    </row>
    <row r="20" spans="1:26" ht="14.25" customHeight="1">
      <c r="A20" s="58">
        <v>9</v>
      </c>
      <c r="B20" s="406" t="s">
        <v>386</v>
      </c>
      <c r="C20" s="406"/>
      <c r="D20" s="406"/>
      <c r="E20" s="406"/>
      <c r="F20" s="406"/>
      <c r="G20" s="406"/>
      <c r="H20" s="406"/>
      <c r="I20" s="407"/>
      <c r="J20" s="428" t="str">
        <f>IF(J18="","",J18*$J19)</f>
        <v/>
      </c>
      <c r="K20" s="429"/>
      <c r="L20" s="428" t="str">
        <f>IF(L18="","",L18*$J19)</f>
        <v/>
      </c>
      <c r="M20" s="429"/>
      <c r="N20" s="428" t="str">
        <f>IF(N18="","",N18*$J19)</f>
        <v/>
      </c>
      <c r="O20" s="429"/>
      <c r="P20" s="428" t="str">
        <f>IF(P18="","",P18*$J19)</f>
        <v/>
      </c>
      <c r="Q20" s="429"/>
      <c r="R20" s="56"/>
      <c r="S20" s="425" t="s">
        <v>309</v>
      </c>
      <c r="T20" s="112" t="s">
        <v>113</v>
      </c>
      <c r="U20" s="430">
        <v>1</v>
      </c>
      <c r="V20" s="430">
        <v>2.2999999999999998</v>
      </c>
      <c r="W20" s="112">
        <v>13</v>
      </c>
      <c r="X20" s="41"/>
      <c r="Y20" s="41"/>
      <c r="Z20" s="41"/>
    </row>
    <row r="21" spans="1:26" ht="14.25" customHeight="1">
      <c r="A21" s="58">
        <v>10</v>
      </c>
      <c r="B21" s="406" t="s">
        <v>229</v>
      </c>
      <c r="C21" s="406"/>
      <c r="D21" s="406"/>
      <c r="E21" s="406"/>
      <c r="F21" s="406"/>
      <c r="G21" s="406"/>
      <c r="H21" s="406"/>
      <c r="I21" s="407"/>
      <c r="J21" s="415"/>
      <c r="K21" s="416"/>
      <c r="L21" s="415"/>
      <c r="M21" s="416"/>
      <c r="N21" s="415"/>
      <c r="O21" s="416"/>
      <c r="P21" s="415"/>
      <c r="Q21" s="416"/>
      <c r="R21" s="56"/>
      <c r="S21" s="425"/>
      <c r="T21" s="112" t="s">
        <v>114</v>
      </c>
      <c r="U21" s="430"/>
      <c r="V21" s="430"/>
      <c r="W21" s="112">
        <v>7.5</v>
      </c>
      <c r="X21" s="41"/>
      <c r="Y21" s="41"/>
      <c r="Z21" s="41"/>
    </row>
    <row r="22" spans="1:26" ht="14.25" customHeight="1">
      <c r="A22" s="58">
        <v>11</v>
      </c>
      <c r="B22" s="406" t="s">
        <v>387</v>
      </c>
      <c r="C22" s="406"/>
      <c r="D22" s="406"/>
      <c r="E22" s="406"/>
      <c r="F22" s="406"/>
      <c r="G22" s="406"/>
      <c r="H22" s="406"/>
      <c r="I22" s="407"/>
      <c r="J22" s="428" t="str">
        <f>IF(J20="","",J20*J21)</f>
        <v/>
      </c>
      <c r="K22" s="429"/>
      <c r="L22" s="428" t="str">
        <f>IF(L20="","",L20*L21)</f>
        <v/>
      </c>
      <c r="M22" s="429"/>
      <c r="N22" s="428" t="str">
        <f>IF(N20="","",N20*N21)</f>
        <v/>
      </c>
      <c r="O22" s="429"/>
      <c r="P22" s="428" t="str">
        <f>IF(P20="","",P20*P21)</f>
        <v/>
      </c>
      <c r="Q22" s="429"/>
      <c r="R22" s="56"/>
      <c r="S22" s="109" t="s">
        <v>117</v>
      </c>
      <c r="T22" s="112" t="s">
        <v>118</v>
      </c>
      <c r="U22" s="112">
        <v>1</v>
      </c>
      <c r="V22" s="112">
        <v>1.9</v>
      </c>
      <c r="W22" s="112">
        <v>1.9</v>
      </c>
      <c r="X22" s="41"/>
      <c r="Y22" s="41"/>
      <c r="Z22" s="41"/>
    </row>
    <row r="23" spans="1:26" ht="14.25" customHeight="1">
      <c r="A23" s="58">
        <v>12</v>
      </c>
      <c r="B23" s="406" t="s">
        <v>388</v>
      </c>
      <c r="C23" s="406"/>
      <c r="D23" s="406"/>
      <c r="E23" s="406"/>
      <c r="F23" s="406"/>
      <c r="G23" s="406"/>
      <c r="H23" s="406"/>
      <c r="I23" s="407"/>
      <c r="J23" s="408" t="str">
        <f xml:space="preserve"> IF($N$7="","",IF($E$7="","",Tables!J155))</f>
        <v/>
      </c>
      <c r="K23" s="409"/>
      <c r="L23" s="408" t="str">
        <f xml:space="preserve"> IF($N$7="","",IF($E$7="","",Tables!J172))</f>
        <v/>
      </c>
      <c r="M23" s="409"/>
      <c r="N23" s="408" t="str">
        <f xml:space="preserve"> IF($N$7="","",IF($E$7="","",Tables!J190))</f>
        <v/>
      </c>
      <c r="O23" s="409"/>
      <c r="P23" s="408" t="str">
        <f xml:space="preserve"> IF($N$7="","",IF($E$7="","",Tables!J207))</f>
        <v/>
      </c>
      <c r="Q23" s="409"/>
      <c r="R23" s="56"/>
      <c r="S23" s="109" t="s">
        <v>118</v>
      </c>
      <c r="T23" s="112" t="s">
        <v>118</v>
      </c>
      <c r="U23" s="112">
        <v>1</v>
      </c>
      <c r="V23" s="112">
        <v>1.7</v>
      </c>
      <c r="W23" s="112">
        <v>3.6</v>
      </c>
      <c r="X23" s="41"/>
      <c r="Y23" s="41"/>
      <c r="Z23" s="41"/>
    </row>
    <row r="24" spans="1:26" ht="14.25" customHeight="1">
      <c r="A24" s="58">
        <v>13</v>
      </c>
      <c r="B24" s="406" t="s">
        <v>389</v>
      </c>
      <c r="C24" s="406"/>
      <c r="D24" s="406"/>
      <c r="E24" s="406"/>
      <c r="F24" s="406"/>
      <c r="G24" s="406"/>
      <c r="H24" s="406"/>
      <c r="I24" s="407"/>
      <c r="J24" s="408" t="str">
        <f xml:space="preserve"> IF($N$7="","",IF($E$7="","",Tables!J84))</f>
        <v/>
      </c>
      <c r="K24" s="409"/>
      <c r="L24" s="408" t="str">
        <f xml:space="preserve"> IF($N$7="","",IF($E$7="","",Tables!J101))</f>
        <v/>
      </c>
      <c r="M24" s="409"/>
      <c r="N24" s="408" t="str">
        <f xml:space="preserve"> IF($N$7="","",IF($E$7="","",Tables!J120))</f>
        <v/>
      </c>
      <c r="O24" s="409"/>
      <c r="P24" s="408" t="str">
        <f xml:space="preserve"> IF($N$7="","",IF($E$7="","",Tables!J137))</f>
        <v/>
      </c>
      <c r="Q24" s="409"/>
      <c r="R24" s="56"/>
      <c r="S24" s="426" t="s">
        <v>405</v>
      </c>
      <c r="T24" s="426"/>
      <c r="U24" s="426"/>
      <c r="V24" s="426"/>
      <c r="W24" s="41"/>
      <c r="X24" s="41"/>
      <c r="Y24" s="41"/>
      <c r="Z24" s="41"/>
    </row>
    <row r="25" spans="1:26" ht="14.25" customHeight="1">
      <c r="A25" s="58">
        <v>14</v>
      </c>
      <c r="B25" s="406" t="s">
        <v>329</v>
      </c>
      <c r="C25" s="406"/>
      <c r="D25" s="406"/>
      <c r="E25" s="406"/>
      <c r="F25" s="406"/>
      <c r="G25" s="406"/>
      <c r="H25" s="406"/>
      <c r="I25" s="407"/>
      <c r="J25" s="420">
        <f>(E8-50)/50</f>
        <v>-1</v>
      </c>
      <c r="K25" s="423"/>
      <c r="L25" s="423"/>
      <c r="M25" s="423"/>
      <c r="N25" s="423"/>
      <c r="O25" s="423"/>
      <c r="P25" s="423"/>
      <c r="Q25" s="421"/>
      <c r="R25" s="56"/>
      <c r="S25" s="427"/>
      <c r="T25" s="427"/>
      <c r="U25" s="427"/>
      <c r="V25" s="427"/>
      <c r="W25" s="41"/>
      <c r="X25" s="41"/>
      <c r="Y25" s="41"/>
      <c r="Z25" s="41"/>
    </row>
    <row r="26" spans="1:26" ht="14.25" customHeight="1">
      <c r="A26" s="58">
        <v>15</v>
      </c>
      <c r="B26" s="406" t="s">
        <v>390</v>
      </c>
      <c r="C26" s="406"/>
      <c r="D26" s="406"/>
      <c r="E26" s="406"/>
      <c r="F26" s="406"/>
      <c r="G26" s="406"/>
      <c r="H26" s="406"/>
      <c r="I26" s="407"/>
      <c r="J26" s="408" t="str">
        <f>IF(J23="","",J24+$J25*(J23-J24))</f>
        <v/>
      </c>
      <c r="K26" s="409"/>
      <c r="L26" s="408" t="str">
        <f>IF(L23="","",L24+$J25*(L23-L24))</f>
        <v/>
      </c>
      <c r="M26" s="409"/>
      <c r="N26" s="408" t="str">
        <f>IF(N23="","",N24+$J25*(N23-N24))</f>
        <v/>
      </c>
      <c r="O26" s="409"/>
      <c r="P26" s="410" t="str">
        <f>IF(P23="","",P24+$J25*(P23-P24))</f>
        <v/>
      </c>
      <c r="Q26" s="411"/>
      <c r="R26" s="56"/>
      <c r="S26" s="427"/>
      <c r="T26" s="427"/>
      <c r="U26" s="427"/>
      <c r="V26" s="427"/>
      <c r="W26" s="41"/>
      <c r="X26" s="41"/>
      <c r="Y26" s="41"/>
      <c r="Z26" s="41"/>
    </row>
    <row r="27" spans="1:26" ht="14.25" customHeight="1">
      <c r="A27" s="58">
        <v>16</v>
      </c>
      <c r="B27" s="406" t="s">
        <v>391</v>
      </c>
      <c r="C27" s="406"/>
      <c r="D27" s="406"/>
      <c r="E27" s="406"/>
      <c r="F27" s="406"/>
      <c r="G27" s="406"/>
      <c r="H27" s="406"/>
      <c r="I27" s="407"/>
      <c r="J27" s="408" t="str">
        <f>IF(J22="","",IF(J26="","",J22*J26))</f>
        <v/>
      </c>
      <c r="K27" s="409"/>
      <c r="L27" s="408" t="str">
        <f>IF(L22="","",IF(L26="","",L22*L26))</f>
        <v/>
      </c>
      <c r="M27" s="409"/>
      <c r="N27" s="408" t="str">
        <f>IF(N22="","",IF(N26="","",N22*N26))</f>
        <v/>
      </c>
      <c r="O27" s="409"/>
      <c r="P27" s="410" t="str">
        <f>IF(P22="","",IF(P26="","",P22*P26))</f>
        <v/>
      </c>
      <c r="Q27" s="411"/>
      <c r="R27" s="56"/>
      <c r="S27" s="113" t="s">
        <v>119</v>
      </c>
      <c r="T27" s="41"/>
      <c r="U27" s="41"/>
      <c r="V27" s="41"/>
      <c r="W27" s="41"/>
      <c r="X27" s="41"/>
      <c r="Y27" s="41"/>
      <c r="Z27" s="41"/>
    </row>
    <row r="28" spans="1:26" ht="24.75" customHeight="1">
      <c r="A28" s="58">
        <v>17</v>
      </c>
      <c r="B28" s="401" t="s">
        <v>392</v>
      </c>
      <c r="C28" s="401"/>
      <c r="D28" s="401"/>
      <c r="E28" s="401"/>
      <c r="F28" s="401"/>
      <c r="G28" s="401"/>
      <c r="H28" s="401"/>
      <c r="I28" s="402"/>
      <c r="J28" s="403">
        <f>SUM(J27:Q27)</f>
        <v>0</v>
      </c>
      <c r="K28" s="404"/>
      <c r="L28" s="404"/>
      <c r="M28" s="404"/>
      <c r="N28" s="404"/>
      <c r="O28" s="404"/>
      <c r="P28" s="404"/>
      <c r="Q28" s="405"/>
      <c r="R28" s="56"/>
      <c r="S28" s="114" t="s">
        <v>121</v>
      </c>
      <c r="T28" s="114" t="s">
        <v>122</v>
      </c>
      <c r="U28" s="114" t="s">
        <v>123</v>
      </c>
      <c r="V28" s="114" t="s">
        <v>117</v>
      </c>
      <c r="W28" s="41"/>
      <c r="X28" s="41"/>
      <c r="Y28" s="41"/>
      <c r="Z28" s="41"/>
    </row>
    <row r="29" spans="1:26" ht="16.5" customHeight="1">
      <c r="A29" s="60"/>
      <c r="B29" s="115" t="s">
        <v>32</v>
      </c>
      <c r="C29" s="115"/>
      <c r="D29" s="115"/>
      <c r="E29" s="115"/>
      <c r="F29" s="115"/>
      <c r="G29" s="115"/>
      <c r="H29" s="115"/>
      <c r="I29" s="115"/>
      <c r="J29" s="115"/>
      <c r="K29" s="115"/>
      <c r="L29" s="115"/>
      <c r="M29" s="115"/>
      <c r="N29" s="115"/>
      <c r="O29" s="115"/>
      <c r="P29" s="115"/>
      <c r="Q29" s="115"/>
      <c r="R29" s="56"/>
      <c r="S29" s="401" t="s">
        <v>62</v>
      </c>
      <c r="T29" s="436">
        <v>7</v>
      </c>
      <c r="U29" s="436">
        <v>18.5</v>
      </c>
      <c r="V29" s="436">
        <v>7</v>
      </c>
      <c r="W29" s="41"/>
      <c r="X29" s="41"/>
      <c r="Y29" s="41"/>
      <c r="Z29" s="41"/>
    </row>
    <row r="30" spans="1:26" ht="14.25" customHeight="1">
      <c r="A30" s="58">
        <v>18</v>
      </c>
      <c r="B30" s="399" t="s">
        <v>393</v>
      </c>
      <c r="C30" s="399"/>
      <c r="D30" s="399"/>
      <c r="E30" s="399"/>
      <c r="F30" s="399"/>
      <c r="G30" s="399"/>
      <c r="H30" s="399"/>
      <c r="I30" s="400"/>
      <c r="J30" s="415"/>
      <c r="K30" s="416"/>
      <c r="L30" s="415"/>
      <c r="M30" s="416"/>
      <c r="N30" s="415"/>
      <c r="O30" s="416"/>
      <c r="P30" s="415"/>
      <c r="Q30" s="416"/>
      <c r="R30" s="56"/>
      <c r="S30" s="393"/>
      <c r="T30" s="394"/>
      <c r="U30" s="394"/>
      <c r="V30" s="394"/>
      <c r="W30" s="41"/>
      <c r="X30" s="41"/>
      <c r="Y30" s="41"/>
      <c r="Z30" s="41"/>
    </row>
    <row r="31" spans="1:26" ht="14.25" customHeight="1">
      <c r="A31" s="58">
        <v>19</v>
      </c>
      <c r="B31" s="406" t="s">
        <v>394</v>
      </c>
      <c r="C31" s="406"/>
      <c r="D31" s="406"/>
      <c r="E31" s="406"/>
      <c r="F31" s="406"/>
      <c r="G31" s="406"/>
      <c r="H31" s="406"/>
      <c r="I31" s="407"/>
      <c r="J31" s="420">
        <f>100-J30</f>
        <v>100</v>
      </c>
      <c r="K31" s="421"/>
      <c r="L31" s="420">
        <f>100-L30</f>
        <v>100</v>
      </c>
      <c r="M31" s="421"/>
      <c r="N31" s="420">
        <f>100-N30</f>
        <v>100</v>
      </c>
      <c r="O31" s="421"/>
      <c r="P31" s="420">
        <f>100-P30</f>
        <v>100</v>
      </c>
      <c r="Q31" s="421"/>
      <c r="R31" s="56"/>
      <c r="S31" s="41"/>
      <c r="T31" s="41"/>
      <c r="U31" s="41"/>
      <c r="V31" s="41"/>
      <c r="W31" s="41"/>
      <c r="X31" s="41"/>
      <c r="Y31" s="41"/>
      <c r="Z31" s="41"/>
    </row>
    <row r="32" spans="1:26" ht="14.25" customHeight="1">
      <c r="A32" s="58">
        <v>20</v>
      </c>
      <c r="B32" s="406" t="s">
        <v>395</v>
      </c>
      <c r="C32" s="406"/>
      <c r="D32" s="406"/>
      <c r="E32" s="406"/>
      <c r="F32" s="406"/>
      <c r="G32" s="406"/>
      <c r="H32" s="406"/>
      <c r="I32" s="407"/>
      <c r="J32" s="418" t="str">
        <f>IF(J22="","",J22*(J31/100))</f>
        <v/>
      </c>
      <c r="K32" s="419"/>
      <c r="L32" s="418" t="str">
        <f>IF(L22="","",L22*(L31/100))</f>
        <v/>
      </c>
      <c r="M32" s="419"/>
      <c r="N32" s="418" t="str">
        <f>IF(N22="","",N22*(N31/100))</f>
        <v/>
      </c>
      <c r="O32" s="419"/>
      <c r="P32" s="418" t="str">
        <f>IF(P22="","",P22*(P31/100))</f>
        <v/>
      </c>
      <c r="Q32" s="419"/>
      <c r="R32" s="56"/>
      <c r="S32" s="41"/>
      <c r="T32" s="41"/>
      <c r="U32" s="41"/>
      <c r="V32" s="41"/>
      <c r="W32" s="41"/>
      <c r="X32" s="41"/>
      <c r="Y32" s="41"/>
      <c r="Z32" s="41"/>
    </row>
    <row r="33" spans="1:26" ht="14.25" customHeight="1">
      <c r="A33" s="58">
        <v>21</v>
      </c>
      <c r="B33" s="406" t="s">
        <v>388</v>
      </c>
      <c r="C33" s="406"/>
      <c r="D33" s="406"/>
      <c r="E33" s="406"/>
      <c r="F33" s="406"/>
      <c r="G33" s="406"/>
      <c r="H33" s="406"/>
      <c r="I33" s="407"/>
      <c r="J33" s="408" t="str">
        <f>J23</f>
        <v/>
      </c>
      <c r="K33" s="409"/>
      <c r="L33" s="408" t="str">
        <f>L23</f>
        <v/>
      </c>
      <c r="M33" s="409"/>
      <c r="N33" s="408" t="str">
        <f>N23</f>
        <v/>
      </c>
      <c r="O33" s="409"/>
      <c r="P33" s="408" t="str">
        <f>P23</f>
        <v/>
      </c>
      <c r="Q33" s="409"/>
      <c r="R33" s="56"/>
      <c r="S33" s="41"/>
      <c r="T33" s="41"/>
      <c r="U33" s="41"/>
      <c r="V33" s="41"/>
      <c r="W33" s="41"/>
      <c r="X33" s="41"/>
      <c r="Y33" s="41"/>
      <c r="Z33" s="41"/>
    </row>
    <row r="34" spans="1:26" ht="14.25" customHeight="1">
      <c r="A34" s="58">
        <v>22</v>
      </c>
      <c r="B34" s="406" t="s">
        <v>389</v>
      </c>
      <c r="C34" s="406"/>
      <c r="D34" s="406"/>
      <c r="E34" s="406"/>
      <c r="F34" s="406"/>
      <c r="G34" s="406"/>
      <c r="H34" s="406"/>
      <c r="I34" s="407"/>
      <c r="J34" s="408" t="str">
        <f>J24</f>
        <v/>
      </c>
      <c r="K34" s="409"/>
      <c r="L34" s="408" t="str">
        <f>L24</f>
        <v/>
      </c>
      <c r="M34" s="409"/>
      <c r="N34" s="408" t="str">
        <f>N24</f>
        <v/>
      </c>
      <c r="O34" s="409"/>
      <c r="P34" s="408" t="str">
        <f>P24</f>
        <v/>
      </c>
      <c r="Q34" s="409"/>
      <c r="R34" s="56"/>
      <c r="S34" s="41"/>
      <c r="T34" s="41"/>
      <c r="U34" s="41"/>
      <c r="V34" s="41"/>
      <c r="W34" s="41"/>
      <c r="X34" s="41"/>
      <c r="Y34" s="41"/>
      <c r="Z34" s="41"/>
    </row>
    <row r="35" spans="1:26" ht="14.25" customHeight="1">
      <c r="A35" s="58">
        <v>23</v>
      </c>
      <c r="B35" s="406" t="s">
        <v>330</v>
      </c>
      <c r="C35" s="406"/>
      <c r="D35" s="406"/>
      <c r="E35" s="406"/>
      <c r="F35" s="406"/>
      <c r="G35" s="406"/>
      <c r="H35" s="406"/>
      <c r="I35" s="407"/>
      <c r="J35" s="420">
        <f>(E10-50)/50</f>
        <v>-1</v>
      </c>
      <c r="K35" s="423"/>
      <c r="L35" s="423"/>
      <c r="M35" s="423"/>
      <c r="N35" s="423"/>
      <c r="O35" s="423"/>
      <c r="P35" s="423"/>
      <c r="Q35" s="421"/>
      <c r="R35" s="56"/>
      <c r="S35" s="41"/>
      <c r="T35" s="41"/>
      <c r="U35" s="41"/>
      <c r="V35" s="41"/>
      <c r="W35" s="41"/>
      <c r="X35" s="41"/>
      <c r="Y35" s="41"/>
      <c r="Z35" s="41"/>
    </row>
    <row r="36" spans="1:26" ht="14.25" customHeight="1">
      <c r="A36" s="58">
        <v>24</v>
      </c>
      <c r="B36" s="406" t="s">
        <v>396</v>
      </c>
      <c r="C36" s="406"/>
      <c r="D36" s="406"/>
      <c r="E36" s="406"/>
      <c r="F36" s="406"/>
      <c r="G36" s="406"/>
      <c r="H36" s="406"/>
      <c r="I36" s="407"/>
      <c r="J36" s="408" t="str">
        <f>IF(J33="","",J34+$J35*(J33-J34))</f>
        <v/>
      </c>
      <c r="K36" s="409"/>
      <c r="L36" s="408" t="str">
        <f>IF(L33="","",L34+$J35*(L33-L34))</f>
        <v/>
      </c>
      <c r="M36" s="409"/>
      <c r="N36" s="408" t="str">
        <f>IF(N33="","",N34+$J35*(N33-N34))</f>
        <v/>
      </c>
      <c r="O36" s="409"/>
      <c r="P36" s="408" t="str">
        <f>IF(P33="","",P34+$J35*(P33-P34))</f>
        <v/>
      </c>
      <c r="Q36" s="409"/>
      <c r="R36" s="56"/>
      <c r="S36" s="41"/>
      <c r="T36" s="41"/>
      <c r="U36" s="41"/>
      <c r="V36" s="41"/>
      <c r="W36" s="41"/>
      <c r="X36" s="41"/>
      <c r="Y36" s="41"/>
      <c r="Z36" s="41"/>
    </row>
    <row r="37" spans="1:26" ht="14.25" customHeight="1">
      <c r="A37" s="58">
        <v>25</v>
      </c>
      <c r="B37" s="406" t="s">
        <v>397</v>
      </c>
      <c r="C37" s="406"/>
      <c r="D37" s="406"/>
      <c r="E37" s="406"/>
      <c r="F37" s="406"/>
      <c r="G37" s="406"/>
      <c r="H37" s="406"/>
      <c r="I37" s="407"/>
      <c r="J37" s="408" t="str">
        <f>IF(J36="","",IF(J32="","",J36*J32))</f>
        <v/>
      </c>
      <c r="K37" s="409"/>
      <c r="L37" s="408" t="str">
        <f>IF(L36="","",IF(L32="","",L36*L32))</f>
        <v/>
      </c>
      <c r="M37" s="409"/>
      <c r="N37" s="408" t="str">
        <f>IF(N36="","",IF(N32="","",N36*N32))</f>
        <v/>
      </c>
      <c r="O37" s="409"/>
      <c r="P37" s="408" t="str">
        <f>IF(P36="","",IF(P32="","",P36*P32))</f>
        <v/>
      </c>
      <c r="Q37" s="409"/>
      <c r="R37" s="56"/>
      <c r="S37" s="41"/>
      <c r="T37" s="41"/>
      <c r="U37" s="41"/>
      <c r="V37" s="41"/>
      <c r="W37" s="41"/>
      <c r="X37" s="41"/>
      <c r="Y37" s="41"/>
      <c r="Z37" s="41"/>
    </row>
    <row r="38" spans="1:26" ht="24.75" customHeight="1">
      <c r="A38" s="58">
        <v>26</v>
      </c>
      <c r="B38" s="369" t="s">
        <v>398</v>
      </c>
      <c r="C38" s="369"/>
      <c r="D38" s="369"/>
      <c r="E38" s="369"/>
      <c r="F38" s="369"/>
      <c r="G38" s="369"/>
      <c r="H38" s="369"/>
      <c r="I38" s="417"/>
      <c r="J38" s="412">
        <f>SUM(J37:Q37)</f>
        <v>0</v>
      </c>
      <c r="K38" s="412"/>
      <c r="L38" s="412"/>
      <c r="M38" s="412"/>
      <c r="N38" s="412"/>
      <c r="O38" s="412"/>
      <c r="P38" s="412"/>
      <c r="Q38" s="412"/>
      <c r="R38" s="56"/>
      <c r="S38" s="41"/>
      <c r="T38" s="41"/>
      <c r="U38" s="41"/>
      <c r="V38" s="41"/>
      <c r="W38" s="41"/>
      <c r="X38" s="41"/>
      <c r="Y38" s="41"/>
      <c r="Z38" s="41"/>
    </row>
    <row r="39" spans="1:26" ht="14.25" customHeight="1">
      <c r="A39" s="58">
        <v>27</v>
      </c>
      <c r="B39" s="406" t="s">
        <v>399</v>
      </c>
      <c r="C39" s="406"/>
      <c r="D39" s="406"/>
      <c r="E39" s="406"/>
      <c r="F39" s="406"/>
      <c r="G39" s="406"/>
      <c r="H39" s="406"/>
      <c r="I39" s="407"/>
      <c r="J39" s="412">
        <f>J28-J38</f>
        <v>0</v>
      </c>
      <c r="K39" s="412"/>
      <c r="L39" s="412"/>
      <c r="M39" s="412"/>
      <c r="N39" s="412"/>
      <c r="O39" s="412"/>
      <c r="P39" s="412"/>
      <c r="Q39" s="412"/>
      <c r="R39" s="56"/>
      <c r="S39" s="41"/>
      <c r="T39" s="41"/>
      <c r="U39" s="41"/>
      <c r="V39" s="41"/>
      <c r="W39" s="41"/>
      <c r="X39" s="41"/>
      <c r="Y39" s="41"/>
      <c r="Z39" s="41"/>
    </row>
    <row r="40" spans="1:26" ht="14.25" customHeight="1">
      <c r="A40" s="58">
        <v>28</v>
      </c>
      <c r="B40" s="406" t="s">
        <v>400</v>
      </c>
      <c r="C40" s="406"/>
      <c r="D40" s="406"/>
      <c r="E40" s="406"/>
      <c r="F40" s="406"/>
      <c r="G40" s="406"/>
      <c r="H40" s="406"/>
      <c r="I40" s="407"/>
      <c r="J40" s="412">
        <f>H50*J39</f>
        <v>0</v>
      </c>
      <c r="K40" s="412"/>
      <c r="L40" s="412"/>
      <c r="M40" s="412"/>
      <c r="N40" s="412"/>
      <c r="O40" s="412"/>
      <c r="P40" s="412"/>
      <c r="Q40" s="412"/>
      <c r="R40" s="58" t="s">
        <v>37</v>
      </c>
      <c r="S40" s="41"/>
      <c r="T40" s="41"/>
      <c r="U40" s="41"/>
      <c r="V40" s="41"/>
      <c r="W40" s="41"/>
      <c r="X40" s="41"/>
      <c r="Y40" s="41"/>
      <c r="Z40" s="41"/>
    </row>
    <row r="41" spans="1:26" ht="14.25" customHeight="1">
      <c r="A41" s="58"/>
      <c r="B41" s="65" t="s">
        <v>401</v>
      </c>
      <c r="C41" s="65"/>
      <c r="D41" s="65"/>
      <c r="E41" s="65"/>
      <c r="F41" s="65"/>
      <c r="G41" s="65"/>
      <c r="H41" s="65"/>
      <c r="I41" s="65"/>
      <c r="J41" s="65"/>
      <c r="K41" s="65"/>
      <c r="L41" s="65"/>
      <c r="M41" s="65"/>
      <c r="N41" s="102"/>
      <c r="O41" s="65"/>
      <c r="P41" s="65"/>
      <c r="Q41" s="72"/>
      <c r="R41" s="56"/>
      <c r="S41" s="41"/>
      <c r="T41" s="41"/>
      <c r="U41" s="41"/>
      <c r="V41" s="41"/>
      <c r="W41" s="41"/>
      <c r="X41" s="41"/>
      <c r="Y41" s="41"/>
      <c r="Z41" s="41"/>
    </row>
    <row r="42" spans="1:26" ht="14.25" customHeight="1">
      <c r="A42" s="35"/>
      <c r="B42" s="3"/>
      <c r="C42" s="3"/>
      <c r="D42" s="3"/>
      <c r="E42" s="3"/>
      <c r="F42" s="3"/>
      <c r="G42" s="3"/>
      <c r="H42" s="3"/>
      <c r="I42" s="3"/>
      <c r="J42" s="3"/>
      <c r="K42" s="3"/>
      <c r="L42" s="3"/>
      <c r="M42" s="3"/>
      <c r="N42" s="52"/>
      <c r="O42" s="3"/>
      <c r="P42" s="3"/>
      <c r="Q42" s="3"/>
      <c r="R42" s="36"/>
      <c r="S42" s="41"/>
      <c r="T42" s="41"/>
      <c r="U42" s="41"/>
      <c r="V42" s="41"/>
      <c r="W42" s="41"/>
      <c r="X42" s="41"/>
      <c r="Y42" s="41"/>
      <c r="Z42" s="41"/>
    </row>
    <row r="43" spans="1:26" ht="14.25" customHeight="1">
      <c r="A43" s="35"/>
      <c r="B43" s="3"/>
      <c r="C43" s="3"/>
      <c r="D43" s="3"/>
      <c r="E43" s="3"/>
      <c r="F43" s="3"/>
      <c r="G43" s="3"/>
      <c r="H43" s="3"/>
      <c r="I43" s="3"/>
      <c r="J43" s="3"/>
      <c r="K43" s="3"/>
      <c r="L43" s="3"/>
      <c r="M43" s="3"/>
      <c r="N43" s="52"/>
      <c r="O43" s="3"/>
      <c r="P43" s="3"/>
      <c r="Q43" s="3"/>
      <c r="R43" s="36"/>
      <c r="S43" s="41"/>
      <c r="T43" s="41"/>
      <c r="U43" s="41"/>
      <c r="V43" s="41"/>
      <c r="W43" s="41"/>
      <c r="X43" s="41"/>
      <c r="Y43" s="41"/>
      <c r="Z43" s="41"/>
    </row>
    <row r="44" spans="1:26">
      <c r="A44" s="35"/>
      <c r="B44" s="4"/>
      <c r="C44" s="4"/>
      <c r="D44" s="4"/>
      <c r="E44" s="4"/>
      <c r="F44" s="4"/>
      <c r="G44" s="4"/>
      <c r="H44" s="4"/>
      <c r="I44" s="4"/>
      <c r="J44" s="4"/>
      <c r="K44" s="4"/>
      <c r="L44" s="4"/>
      <c r="M44" s="4"/>
      <c r="N44" s="4"/>
      <c r="O44" s="4"/>
      <c r="P44" s="4"/>
      <c r="Q44" s="4"/>
      <c r="R44" s="36"/>
      <c r="S44" s="41"/>
      <c r="T44" s="41"/>
      <c r="U44" s="41"/>
      <c r="V44" s="41"/>
      <c r="W44" s="41"/>
      <c r="X44" s="41"/>
      <c r="Y44" s="41"/>
      <c r="Z44" s="41"/>
    </row>
    <row r="45" spans="1:26">
      <c r="A45" s="41"/>
      <c r="B45" s="41"/>
      <c r="C45" s="41"/>
      <c r="D45" s="41"/>
      <c r="E45" s="41"/>
      <c r="F45" s="41"/>
      <c r="G45" s="41"/>
      <c r="H45" s="41"/>
      <c r="I45" s="41"/>
      <c r="R45" s="41"/>
      <c r="S45" s="41"/>
      <c r="T45" s="41"/>
      <c r="U45" s="41"/>
      <c r="V45" s="41"/>
      <c r="W45" s="41"/>
      <c r="X45" s="41"/>
      <c r="Y45" s="41"/>
      <c r="Z45" s="41"/>
    </row>
    <row r="46" spans="1:26" hidden="1">
      <c r="A46" s="110"/>
      <c r="B46" s="41"/>
      <c r="C46" s="41"/>
      <c r="D46" s="41"/>
      <c r="E46" s="41"/>
      <c r="F46" s="41"/>
      <c r="G46" s="41"/>
      <c r="H46" s="41"/>
      <c r="I46" s="41"/>
      <c r="R46" s="41"/>
      <c r="S46" s="41"/>
      <c r="T46" s="41"/>
      <c r="U46" s="41"/>
      <c r="V46" s="41"/>
      <c r="W46" s="41"/>
      <c r="X46" s="41"/>
      <c r="Y46" s="41"/>
      <c r="Z46" s="41"/>
    </row>
    <row r="47" spans="1:26" hidden="1">
      <c r="A47" s="110"/>
      <c r="B47" s="41"/>
      <c r="C47" s="41"/>
      <c r="D47" s="41"/>
      <c r="E47" s="41"/>
      <c r="F47" s="41"/>
      <c r="G47" s="41"/>
      <c r="H47" s="41">
        <f>N9</f>
        <v>0</v>
      </c>
      <c r="I47" s="41"/>
      <c r="R47" s="41"/>
      <c r="S47" s="41"/>
      <c r="T47" s="41"/>
      <c r="U47" s="41"/>
      <c r="V47" s="41"/>
      <c r="W47" s="41"/>
      <c r="X47" s="41"/>
      <c r="Y47" s="41"/>
      <c r="Z47" s="41"/>
    </row>
    <row r="48" spans="1:26" ht="13.5" hidden="1" customHeight="1">
      <c r="A48" s="110"/>
      <c r="B48" s="41"/>
      <c r="C48" s="41"/>
      <c r="D48" s="41"/>
      <c r="E48" s="41"/>
      <c r="F48" s="41"/>
      <c r="G48" s="41"/>
      <c r="H48" s="41">
        <f>J48-I48+(H$47-0.03)*(L48-K48)</f>
        <v>8.5617256339800178</v>
      </c>
      <c r="I48" s="116">
        <v>0.97142327541941853</v>
      </c>
      <c r="J48" s="116">
        <v>15.493302369261828</v>
      </c>
      <c r="K48" s="116">
        <v>0.4809949234794999</v>
      </c>
      <c r="L48" s="116">
        <v>199.15277691889258</v>
      </c>
      <c r="R48" s="41"/>
      <c r="S48" s="41"/>
      <c r="T48" s="41"/>
      <c r="U48" s="41"/>
      <c r="V48" s="41"/>
      <c r="W48" s="41"/>
      <c r="X48" s="41"/>
      <c r="Y48" s="41"/>
      <c r="Z48" s="41"/>
    </row>
    <row r="49" spans="1:26" hidden="1">
      <c r="A49" s="110"/>
      <c r="B49" s="41"/>
      <c r="C49" s="41"/>
      <c r="D49" s="41"/>
      <c r="E49" s="41"/>
      <c r="F49" s="41"/>
      <c r="G49" s="41"/>
      <c r="H49" s="41">
        <f>J49-I49+(H$47-0.01)*(L49-K49)</f>
        <v>12.535161273888278</v>
      </c>
      <c r="I49" s="116">
        <v>0.97142327541941853</v>
      </c>
      <c r="J49" s="116">
        <v>15.493302369261828</v>
      </c>
      <c r="K49" s="116">
        <v>0.4809949234794999</v>
      </c>
      <c r="L49" s="116">
        <v>199.15277691889258</v>
      </c>
      <c r="R49" s="41"/>
      <c r="S49" s="41"/>
      <c r="T49" s="41"/>
      <c r="U49" s="41"/>
      <c r="V49" s="41"/>
      <c r="W49" s="41"/>
      <c r="X49" s="41"/>
      <c r="Y49" s="41"/>
      <c r="Z49" s="41"/>
    </row>
    <row r="50" spans="1:26" ht="21.75" hidden="1" thickBot="1">
      <c r="A50" s="117"/>
      <c r="B50" s="41"/>
      <c r="C50" s="118" t="s">
        <v>63</v>
      </c>
      <c r="D50" s="41"/>
      <c r="E50" s="41"/>
      <c r="F50" s="41"/>
      <c r="G50" s="41"/>
      <c r="H50" s="384">
        <f>IF(E9&lt;70,H48,H49)</f>
        <v>8.5617256339800178</v>
      </c>
      <c r="I50" s="384"/>
      <c r="J50" s="384"/>
      <c r="K50" s="4"/>
      <c r="N50" s="41" t="s">
        <v>117</v>
      </c>
      <c r="R50" s="41"/>
      <c r="S50" s="41"/>
      <c r="T50" s="41"/>
      <c r="U50" s="41"/>
      <c r="V50" s="41"/>
      <c r="W50" s="41"/>
      <c r="X50" s="41"/>
      <c r="Y50" s="41"/>
      <c r="Z50" s="41"/>
    </row>
    <row r="51" spans="1:26" ht="32.25" hidden="1" thickBot="1">
      <c r="A51" s="117" t="s">
        <v>130</v>
      </c>
      <c r="B51" s="41">
        <v>1</v>
      </c>
      <c r="C51" s="118" t="s">
        <v>64</v>
      </c>
      <c r="D51" s="41"/>
      <c r="E51" s="41"/>
      <c r="F51" s="116"/>
      <c r="G51" s="116"/>
      <c r="H51" s="41"/>
      <c r="I51" s="41"/>
      <c r="N51" s="4" t="s">
        <v>236</v>
      </c>
      <c r="R51" s="41"/>
      <c r="S51" s="41"/>
      <c r="T51" s="41"/>
      <c r="U51" s="41"/>
      <c r="V51" s="41"/>
      <c r="W51" s="41"/>
      <c r="X51" s="41"/>
      <c r="Y51" s="41"/>
      <c r="Z51" s="41"/>
    </row>
    <row r="52" spans="1:26" ht="32.25" hidden="1" thickBot="1">
      <c r="A52" s="117" t="s">
        <v>131</v>
      </c>
      <c r="B52" s="41">
        <v>2</v>
      </c>
      <c r="C52" s="118" t="s">
        <v>65</v>
      </c>
      <c r="D52" s="41"/>
      <c r="E52" s="41"/>
      <c r="F52" s="116"/>
      <c r="G52" s="116"/>
      <c r="H52" s="41"/>
      <c r="I52" s="41"/>
      <c r="N52" s="41" t="s">
        <v>237</v>
      </c>
      <c r="R52" s="41"/>
      <c r="S52" s="41"/>
      <c r="T52" s="41"/>
      <c r="U52" s="41"/>
      <c r="V52" s="41"/>
      <c r="W52" s="41"/>
      <c r="X52" s="41"/>
      <c r="Y52" s="41"/>
      <c r="Z52" s="41"/>
    </row>
    <row r="53" spans="1:26" ht="84.75" hidden="1" thickBot="1">
      <c r="A53" s="117" t="s">
        <v>132</v>
      </c>
      <c r="B53" s="41">
        <v>3</v>
      </c>
      <c r="C53" s="118" t="s">
        <v>66</v>
      </c>
      <c r="D53" s="41"/>
      <c r="E53" s="41"/>
      <c r="F53" s="41"/>
      <c r="G53" s="118"/>
      <c r="H53" s="41"/>
      <c r="I53" s="41"/>
      <c r="N53" s="41" t="s">
        <v>238</v>
      </c>
      <c r="R53" s="41"/>
      <c r="S53" s="41"/>
      <c r="T53" s="41"/>
      <c r="U53" s="41"/>
      <c r="V53" s="41"/>
      <c r="W53" s="41"/>
      <c r="X53" s="41"/>
      <c r="Y53" s="41"/>
      <c r="Z53" s="41"/>
    </row>
    <row r="54" spans="1:26" ht="84.75" hidden="1" thickBot="1">
      <c r="A54" s="117" t="s">
        <v>133</v>
      </c>
      <c r="B54" s="41">
        <v>4</v>
      </c>
      <c r="C54" s="118" t="s">
        <v>67</v>
      </c>
      <c r="D54" s="41"/>
      <c r="E54" s="41"/>
      <c r="F54" s="41"/>
      <c r="G54" s="41"/>
      <c r="H54" s="41"/>
      <c r="I54" s="41"/>
      <c r="J54" s="118"/>
      <c r="K54" s="4"/>
      <c r="N54" s="41" t="s">
        <v>239</v>
      </c>
      <c r="R54" s="41"/>
      <c r="S54" s="41"/>
      <c r="T54" s="41"/>
      <c r="U54" s="41"/>
      <c r="V54" s="41"/>
      <c r="W54" s="41"/>
      <c r="X54" s="41"/>
      <c r="Y54" s="41"/>
      <c r="Z54" s="41"/>
    </row>
    <row r="55" spans="1:26" ht="53.25" hidden="1" thickBot="1">
      <c r="A55" s="117" t="s">
        <v>134</v>
      </c>
      <c r="B55" s="41">
        <v>5</v>
      </c>
      <c r="C55" s="118" t="s">
        <v>68</v>
      </c>
      <c r="D55" s="41"/>
      <c r="E55" s="41"/>
      <c r="F55" s="41"/>
      <c r="G55" s="41"/>
      <c r="H55" s="41"/>
      <c r="I55" s="41"/>
      <c r="J55" s="118"/>
      <c r="K55" s="4"/>
      <c r="R55" s="41"/>
      <c r="S55" s="41"/>
      <c r="T55" s="41"/>
      <c r="U55" s="41"/>
      <c r="V55" s="41"/>
      <c r="W55" s="41"/>
      <c r="X55" s="41"/>
      <c r="Y55" s="41"/>
      <c r="Z55" s="41"/>
    </row>
    <row r="56" spans="1:26" ht="42.75" hidden="1" thickBot="1">
      <c r="A56" s="117" t="s">
        <v>135</v>
      </c>
      <c r="B56" s="41">
        <v>6</v>
      </c>
      <c r="C56" s="116"/>
      <c r="D56" s="41"/>
      <c r="E56" s="41"/>
      <c r="F56" s="41"/>
      <c r="G56" s="41"/>
      <c r="H56" s="41"/>
      <c r="I56" s="41"/>
      <c r="J56" s="118"/>
      <c r="K56" s="4"/>
      <c r="R56" s="41"/>
      <c r="S56" s="41"/>
      <c r="T56" s="41"/>
      <c r="U56" s="41"/>
      <c r="V56" s="41"/>
      <c r="W56" s="41"/>
      <c r="X56" s="41"/>
      <c r="Y56" s="41"/>
      <c r="Z56" s="41"/>
    </row>
    <row r="57" spans="1:26" ht="42.75" hidden="1" thickBot="1">
      <c r="A57" s="117" t="s">
        <v>113</v>
      </c>
      <c r="B57" s="41">
        <v>7</v>
      </c>
      <c r="C57" s="414"/>
      <c r="D57" s="41"/>
      <c r="E57" s="41"/>
      <c r="F57" s="41"/>
      <c r="G57" s="41"/>
      <c r="H57" s="41"/>
      <c r="I57" s="41"/>
      <c r="J57" s="118"/>
      <c r="K57" s="4"/>
      <c r="R57" s="41"/>
      <c r="S57" s="41"/>
      <c r="T57" s="41"/>
      <c r="U57" s="41"/>
      <c r="V57" s="41"/>
      <c r="W57" s="41"/>
      <c r="X57" s="41"/>
      <c r="Y57" s="41"/>
      <c r="Z57" s="41"/>
    </row>
    <row r="58" spans="1:26" ht="74.25" hidden="1" thickBot="1">
      <c r="A58" s="117" t="s">
        <v>136</v>
      </c>
      <c r="B58" s="41">
        <v>8</v>
      </c>
      <c r="C58" s="414"/>
      <c r="D58" s="41"/>
      <c r="E58" s="41"/>
      <c r="F58" s="41"/>
      <c r="G58" s="41"/>
      <c r="H58" s="41"/>
      <c r="I58" s="41"/>
      <c r="J58" s="118"/>
      <c r="K58" s="4"/>
      <c r="R58" s="41"/>
      <c r="S58" s="41"/>
      <c r="T58" s="41"/>
      <c r="U58" s="41"/>
      <c r="V58" s="41"/>
      <c r="W58" s="41"/>
      <c r="X58" s="41"/>
      <c r="Y58" s="41"/>
      <c r="Z58" s="41"/>
    </row>
    <row r="59" spans="1:26" ht="74.25" hidden="1" thickBot="1">
      <c r="A59" s="117" t="s">
        <v>137</v>
      </c>
      <c r="B59" s="41">
        <v>9</v>
      </c>
      <c r="C59" s="41"/>
      <c r="D59" s="41"/>
      <c r="E59" s="41"/>
      <c r="F59" s="41"/>
      <c r="G59" s="41"/>
      <c r="H59" s="41"/>
      <c r="I59" s="41"/>
      <c r="J59" s="118"/>
      <c r="K59" s="4"/>
      <c r="R59" s="41"/>
      <c r="S59" s="41"/>
      <c r="T59" s="41"/>
      <c r="U59" s="41"/>
      <c r="V59" s="41"/>
      <c r="W59" s="41"/>
      <c r="X59" s="41"/>
      <c r="Y59" s="41"/>
      <c r="Z59" s="41"/>
    </row>
    <row r="60" spans="1:26" ht="95.25" hidden="1" thickBot="1">
      <c r="A60" s="117" t="s">
        <v>138</v>
      </c>
      <c r="B60" s="41">
        <v>10</v>
      </c>
      <c r="C60" s="41"/>
      <c r="D60" s="41"/>
      <c r="E60" s="41"/>
      <c r="F60" s="41"/>
      <c r="G60" s="41"/>
      <c r="H60" s="41"/>
      <c r="I60" s="41"/>
      <c r="J60" s="118"/>
      <c r="K60" s="4"/>
      <c r="R60" s="41"/>
      <c r="S60" s="41"/>
      <c r="T60" s="41"/>
      <c r="U60" s="41"/>
      <c r="V60" s="41"/>
      <c r="W60" s="41"/>
      <c r="X60" s="41"/>
      <c r="Y60" s="41"/>
      <c r="Z60" s="41"/>
    </row>
    <row r="61" spans="1:26" ht="63.75" hidden="1" thickBot="1">
      <c r="A61" s="117" t="s">
        <v>139</v>
      </c>
      <c r="B61" s="41">
        <v>11</v>
      </c>
      <c r="C61" s="41"/>
      <c r="D61" s="41"/>
      <c r="E61" s="41"/>
      <c r="F61" s="41"/>
      <c r="G61" s="41"/>
      <c r="H61" s="41"/>
      <c r="I61" s="41"/>
      <c r="J61" s="118"/>
      <c r="K61" s="4"/>
      <c r="R61" s="41"/>
      <c r="S61" s="41"/>
      <c r="T61" s="41"/>
      <c r="U61" s="41"/>
      <c r="V61" s="41"/>
      <c r="W61" s="41"/>
      <c r="X61" s="41"/>
      <c r="Y61" s="41"/>
      <c r="Z61" s="41"/>
    </row>
    <row r="62" spans="1:26" ht="74.25" hidden="1" thickBot="1">
      <c r="A62" s="117" t="s">
        <v>140</v>
      </c>
      <c r="B62" s="41">
        <v>12</v>
      </c>
      <c r="C62" s="41"/>
      <c r="D62" s="41"/>
      <c r="E62" s="41"/>
      <c r="F62" s="41"/>
      <c r="G62" s="41"/>
      <c r="H62" s="41"/>
      <c r="I62" s="41"/>
      <c r="J62" s="118"/>
      <c r="K62" s="4"/>
      <c r="R62" s="41"/>
      <c r="S62" s="41"/>
      <c r="T62" s="41"/>
      <c r="U62" s="41"/>
      <c r="V62" s="41"/>
      <c r="W62" s="41"/>
      <c r="X62" s="41"/>
      <c r="Y62" s="41"/>
      <c r="Z62" s="41"/>
    </row>
    <row r="63" spans="1:26" ht="53.25" hidden="1" thickBot="1">
      <c r="A63" s="117" t="s">
        <v>62</v>
      </c>
      <c r="B63" s="41">
        <v>13</v>
      </c>
      <c r="C63" s="41"/>
      <c r="D63" s="41"/>
      <c r="E63" s="41"/>
      <c r="F63" s="41"/>
      <c r="G63" s="41"/>
      <c r="H63" s="41"/>
      <c r="I63" s="41"/>
      <c r="J63" s="118"/>
      <c r="K63" s="4"/>
      <c r="R63" s="41"/>
      <c r="S63" s="41"/>
      <c r="T63" s="41"/>
      <c r="U63" s="41"/>
      <c r="V63" s="41"/>
      <c r="W63" s="41"/>
      <c r="X63" s="41"/>
      <c r="Y63" s="41"/>
      <c r="Z63" s="41"/>
    </row>
    <row r="64" spans="1:26" hidden="1">
      <c r="A64" s="110"/>
      <c r="B64" s="41"/>
      <c r="C64" s="41"/>
      <c r="D64" s="41"/>
      <c r="E64" s="41"/>
      <c r="F64" s="41"/>
      <c r="G64" s="41"/>
      <c r="H64" s="41"/>
      <c r="I64" s="41"/>
      <c r="J64" s="118"/>
      <c r="K64" s="4"/>
      <c r="R64" s="41"/>
      <c r="S64" s="41"/>
      <c r="T64" s="41"/>
      <c r="U64" s="41"/>
      <c r="V64" s="41"/>
      <c r="W64" s="41"/>
      <c r="X64" s="41"/>
      <c r="Y64" s="41"/>
      <c r="Z64" s="41"/>
    </row>
    <row r="65" spans="1:26">
      <c r="A65" s="110"/>
      <c r="B65" s="41"/>
      <c r="C65" s="41"/>
      <c r="D65" s="41"/>
      <c r="E65" s="41"/>
      <c r="F65" s="41"/>
      <c r="G65" s="41"/>
      <c r="H65" s="41"/>
      <c r="I65" s="41"/>
      <c r="J65" s="119"/>
      <c r="K65" s="4"/>
      <c r="R65" s="41"/>
      <c r="S65" s="41"/>
      <c r="T65" s="41"/>
      <c r="U65" s="41"/>
      <c r="V65" s="41"/>
      <c r="W65" s="41"/>
      <c r="X65" s="41"/>
      <c r="Y65" s="41"/>
      <c r="Z65" s="41"/>
    </row>
    <row r="66" spans="1:26">
      <c r="A66" s="110"/>
      <c r="B66" s="41"/>
      <c r="C66" s="41"/>
      <c r="D66" s="41"/>
      <c r="E66" s="41"/>
      <c r="F66" s="41"/>
      <c r="G66" s="41"/>
      <c r="H66" s="41"/>
      <c r="I66" s="41"/>
      <c r="R66" s="41"/>
      <c r="S66" s="41"/>
      <c r="T66" s="41"/>
      <c r="U66" s="41"/>
      <c r="V66" s="41"/>
      <c r="W66" s="41"/>
      <c r="X66" s="41"/>
      <c r="Y66" s="41"/>
      <c r="Z66" s="41"/>
    </row>
    <row r="67" spans="1:26">
      <c r="A67" s="110"/>
      <c r="B67" s="41"/>
      <c r="C67" s="41"/>
      <c r="D67" s="41"/>
      <c r="E67" s="41"/>
      <c r="F67" s="41"/>
      <c r="G67" s="41"/>
      <c r="H67" s="41"/>
      <c r="I67" s="41"/>
      <c r="R67" s="41"/>
      <c r="S67" s="41"/>
      <c r="T67" s="41"/>
      <c r="U67" s="41"/>
      <c r="V67" s="41"/>
      <c r="W67" s="41"/>
      <c r="X67" s="41"/>
      <c r="Y67" s="41"/>
      <c r="Z67" s="41"/>
    </row>
    <row r="68" spans="1:26">
      <c r="A68" s="110"/>
      <c r="B68" s="41"/>
      <c r="C68" s="41"/>
      <c r="D68" s="41"/>
      <c r="E68" s="41"/>
      <c r="F68" s="41"/>
      <c r="G68" s="41"/>
      <c r="H68" s="41"/>
      <c r="I68" s="41"/>
      <c r="R68" s="41"/>
      <c r="S68" s="41"/>
      <c r="T68" s="41"/>
      <c r="U68" s="41"/>
      <c r="V68" s="41"/>
      <c r="W68" s="41"/>
      <c r="X68" s="41"/>
      <c r="Y68" s="41"/>
      <c r="Z68" s="41"/>
    </row>
    <row r="69" spans="1:26">
      <c r="A69" s="110"/>
      <c r="B69" s="41"/>
      <c r="C69" s="41"/>
      <c r="D69" s="41"/>
      <c r="E69" s="41"/>
      <c r="F69" s="41"/>
      <c r="G69" s="41"/>
      <c r="H69" s="41"/>
      <c r="I69" s="41"/>
      <c r="R69" s="41"/>
      <c r="S69" s="41"/>
      <c r="T69" s="41"/>
      <c r="U69" s="41"/>
      <c r="V69" s="41"/>
      <c r="W69" s="41"/>
      <c r="X69" s="41"/>
      <c r="Y69" s="41"/>
      <c r="Z69" s="41"/>
    </row>
    <row r="70" spans="1:26">
      <c r="A70" s="110"/>
      <c r="B70" s="41"/>
      <c r="C70" s="41"/>
      <c r="D70" s="41"/>
      <c r="E70" s="41"/>
      <c r="F70" s="41"/>
      <c r="G70" s="41"/>
      <c r="H70" s="41"/>
      <c r="I70" s="41"/>
      <c r="R70" s="41"/>
      <c r="S70" s="41"/>
      <c r="T70" s="41"/>
      <c r="U70" s="41"/>
      <c r="V70" s="41"/>
      <c r="W70" s="41"/>
      <c r="X70" s="41"/>
      <c r="Y70" s="41"/>
      <c r="Z70" s="41"/>
    </row>
    <row r="71" spans="1:26">
      <c r="A71" s="110"/>
      <c r="B71" s="41"/>
      <c r="C71" s="41"/>
      <c r="D71" s="41"/>
      <c r="E71" s="41"/>
      <c r="F71" s="41"/>
      <c r="G71" s="41"/>
      <c r="H71" s="41"/>
      <c r="I71" s="41"/>
      <c r="R71" s="41"/>
      <c r="S71" s="41"/>
      <c r="T71" s="41"/>
      <c r="U71" s="41"/>
      <c r="V71" s="41"/>
      <c r="W71" s="41"/>
      <c r="X71" s="41"/>
      <c r="Y71" s="41"/>
      <c r="Z71" s="41"/>
    </row>
    <row r="72" spans="1:26">
      <c r="A72" s="110"/>
      <c r="B72" s="41"/>
      <c r="C72" s="41"/>
      <c r="D72" s="41"/>
      <c r="E72" s="41"/>
      <c r="F72" s="41"/>
      <c r="G72" s="41"/>
      <c r="H72" s="41"/>
      <c r="I72" s="41"/>
      <c r="R72" s="41"/>
      <c r="S72" s="41"/>
      <c r="T72" s="41"/>
      <c r="U72" s="41"/>
      <c r="V72" s="41"/>
      <c r="W72" s="41"/>
      <c r="X72" s="41"/>
      <c r="Y72" s="41"/>
      <c r="Z72" s="41"/>
    </row>
    <row r="73" spans="1:26">
      <c r="A73" s="110"/>
      <c r="B73" s="41"/>
      <c r="C73" s="41"/>
      <c r="D73" s="41"/>
      <c r="E73" s="41"/>
      <c r="F73" s="41"/>
      <c r="G73" s="41"/>
      <c r="H73" s="41"/>
      <c r="I73" s="41"/>
      <c r="R73" s="41"/>
      <c r="S73" s="41"/>
      <c r="T73" s="41"/>
      <c r="U73" s="41"/>
      <c r="V73" s="41"/>
      <c r="W73" s="41"/>
      <c r="X73" s="41"/>
      <c r="Y73" s="41"/>
      <c r="Z73" s="41"/>
    </row>
    <row r="74" spans="1:26">
      <c r="A74" s="110"/>
      <c r="B74" s="41"/>
      <c r="C74" s="41"/>
      <c r="D74" s="41"/>
      <c r="E74" s="41"/>
      <c r="F74" s="41"/>
      <c r="G74" s="41"/>
      <c r="H74" s="41"/>
      <c r="I74" s="41"/>
      <c r="R74" s="41"/>
      <c r="S74" s="41"/>
      <c r="T74" s="41"/>
      <c r="U74" s="41"/>
      <c r="V74" s="41"/>
      <c r="W74" s="41"/>
      <c r="X74" s="41"/>
      <c r="Y74" s="41"/>
      <c r="Z74" s="41"/>
    </row>
    <row r="75" spans="1:26">
      <c r="A75" s="110"/>
      <c r="B75" s="41"/>
      <c r="C75" s="41"/>
      <c r="D75" s="41"/>
      <c r="E75" s="41"/>
      <c r="F75" s="41"/>
      <c r="G75" s="41"/>
      <c r="H75" s="41"/>
      <c r="I75" s="41"/>
      <c r="R75" s="41"/>
      <c r="S75" s="41"/>
      <c r="T75" s="41"/>
      <c r="U75" s="41"/>
      <c r="V75" s="41"/>
      <c r="W75" s="41"/>
      <c r="X75" s="41"/>
      <c r="Y75" s="41"/>
      <c r="Z75" s="41"/>
    </row>
    <row r="76" spans="1:26">
      <c r="A76" s="110"/>
      <c r="B76" s="41"/>
      <c r="C76" s="41"/>
      <c r="D76" s="41"/>
      <c r="E76" s="41"/>
      <c r="F76" s="41"/>
      <c r="G76" s="41"/>
      <c r="H76" s="41"/>
      <c r="I76" s="41"/>
      <c r="R76" s="41"/>
      <c r="S76" s="41"/>
      <c r="T76" s="41"/>
      <c r="U76" s="41"/>
      <c r="V76" s="41"/>
      <c r="W76" s="41"/>
      <c r="X76" s="41"/>
      <c r="Y76" s="41"/>
      <c r="Z76" s="41"/>
    </row>
    <row r="77" spans="1:26">
      <c r="A77" s="110"/>
      <c r="B77" s="41"/>
      <c r="C77" s="41"/>
      <c r="D77" s="41"/>
      <c r="E77" s="41"/>
      <c r="F77" s="41"/>
      <c r="G77" s="41"/>
      <c r="H77" s="41"/>
      <c r="I77" s="41"/>
      <c r="R77" s="41"/>
      <c r="S77" s="41"/>
      <c r="T77" s="41"/>
      <c r="U77" s="41"/>
      <c r="V77" s="41"/>
      <c r="W77" s="41"/>
      <c r="X77" s="41"/>
      <c r="Y77" s="41"/>
      <c r="Z77" s="41"/>
    </row>
    <row r="78" spans="1:26">
      <c r="A78" s="110"/>
      <c r="B78" s="41"/>
      <c r="C78" s="41"/>
      <c r="D78" s="41"/>
      <c r="E78" s="41"/>
      <c r="F78" s="41"/>
      <c r="G78" s="41"/>
      <c r="H78" s="41"/>
      <c r="I78" s="41"/>
      <c r="R78" s="41"/>
      <c r="S78" s="41"/>
      <c r="T78" s="41"/>
      <c r="U78" s="41"/>
      <c r="V78" s="41"/>
      <c r="W78" s="41"/>
      <c r="X78" s="41"/>
      <c r="Y78" s="41"/>
      <c r="Z78" s="41"/>
    </row>
    <row r="79" spans="1:26">
      <c r="A79" s="110"/>
      <c r="B79" s="41"/>
      <c r="C79" s="41"/>
      <c r="D79" s="41"/>
      <c r="E79" s="41"/>
      <c r="F79" s="41"/>
      <c r="G79" s="41"/>
      <c r="H79" s="41"/>
      <c r="I79" s="41"/>
      <c r="R79" s="41"/>
      <c r="S79" s="41"/>
      <c r="T79" s="41"/>
      <c r="U79" s="41"/>
      <c r="V79" s="41"/>
      <c r="W79" s="41"/>
      <c r="X79" s="41"/>
      <c r="Y79" s="41"/>
      <c r="Z79" s="41"/>
    </row>
    <row r="80" spans="1:26">
      <c r="A80" s="110"/>
      <c r="B80" s="41"/>
      <c r="C80" s="41"/>
      <c r="D80" s="41"/>
      <c r="E80" s="41"/>
      <c r="F80" s="41"/>
      <c r="G80" s="41"/>
      <c r="H80" s="41"/>
      <c r="I80" s="41"/>
      <c r="R80" s="41"/>
      <c r="S80" s="41"/>
      <c r="T80" s="41"/>
      <c r="U80" s="41"/>
      <c r="V80" s="41"/>
      <c r="W80" s="41"/>
      <c r="X80" s="41"/>
      <c r="Y80" s="41"/>
      <c r="Z80" s="41"/>
    </row>
    <row r="81" spans="1:26">
      <c r="A81" s="110"/>
      <c r="B81" s="41"/>
      <c r="C81" s="41"/>
      <c r="D81" s="41"/>
      <c r="E81" s="41"/>
      <c r="F81" s="41"/>
      <c r="G81" s="41"/>
      <c r="H81" s="41"/>
      <c r="I81" s="41"/>
      <c r="R81" s="41"/>
      <c r="S81" s="41"/>
      <c r="T81" s="41"/>
      <c r="U81" s="41"/>
      <c r="V81" s="41"/>
      <c r="W81" s="41"/>
      <c r="X81" s="41"/>
      <c r="Y81" s="41"/>
      <c r="Z81" s="41"/>
    </row>
    <row r="82" spans="1:26">
      <c r="A82" s="110"/>
      <c r="B82" s="41"/>
      <c r="C82" s="41"/>
      <c r="D82" s="41"/>
      <c r="E82" s="41"/>
      <c r="F82" s="41"/>
      <c r="G82" s="41"/>
      <c r="H82" s="41"/>
      <c r="I82" s="41"/>
      <c r="R82" s="41"/>
      <c r="S82" s="41"/>
      <c r="T82" s="41"/>
      <c r="U82" s="41"/>
      <c r="V82" s="41"/>
      <c r="W82" s="41"/>
      <c r="X82" s="41"/>
      <c r="Y82" s="41"/>
      <c r="Z82" s="41"/>
    </row>
  </sheetData>
  <sheetProtection password="C5CB" sheet="1" selectLockedCells="1"/>
  <protectedRanges>
    <protectedRange sqref="E42:F43" name="Range15_1_1"/>
    <protectedRange sqref="L41:M43" name="Range14_1_1"/>
    <protectedRange sqref="C7:D8 M11:M12 R27 J7 K7:M8 I8:J8 R7:R12" name="Range1_1_2"/>
    <protectedRange sqref="R21" name="Range3_1"/>
    <protectedRange sqref="R23:R26 R30" name="Range5_1"/>
    <protectedRange sqref="O7:Q9" name="Range1_1_1"/>
    <protectedRange sqref="E39:F41" name="Range15_1"/>
    <protectedRange sqref="F27:I27 G32:I32" name="Range5_1_1"/>
    <protectedRange sqref="E36:G36" name="Range10_1_1"/>
    <protectedRange sqref="E7:H10" name="Range1_1_1_1"/>
    <protectedRange sqref="N51" name="Range1"/>
  </protectedRanges>
  <mergeCells count="138">
    <mergeCell ref="E9:H9"/>
    <mergeCell ref="E10:H10"/>
    <mergeCell ref="B12:I13"/>
    <mergeCell ref="B19:I19"/>
    <mergeCell ref="B20:I20"/>
    <mergeCell ref="B18:I18"/>
    <mergeCell ref="B17:I17"/>
    <mergeCell ref="B16:I16"/>
    <mergeCell ref="J16:K16"/>
    <mergeCell ref="L16:M16"/>
    <mergeCell ref="N16:O16"/>
    <mergeCell ref="T29:T30"/>
    <mergeCell ref="U29:U30"/>
    <mergeCell ref="V29:V30"/>
    <mergeCell ref="N7:Q7"/>
    <mergeCell ref="N8:Q8"/>
    <mergeCell ref="N9:Q9"/>
    <mergeCell ref="J12:Q12"/>
    <mergeCell ref="P13:Q13"/>
    <mergeCell ref="N20:O20"/>
    <mergeCell ref="N13:O13"/>
    <mergeCell ref="J20:K20"/>
    <mergeCell ref="E7:H7"/>
    <mergeCell ref="E8:H8"/>
    <mergeCell ref="B14:I14"/>
    <mergeCell ref="J14:Q14"/>
    <mergeCell ref="B15:I15"/>
    <mergeCell ref="J15:K15"/>
    <mergeCell ref="P16:Q16"/>
    <mergeCell ref="J18:K18"/>
    <mergeCell ref="P18:Q18"/>
    <mergeCell ref="S12:W13"/>
    <mergeCell ref="J13:K13"/>
    <mergeCell ref="L13:M13"/>
    <mergeCell ref="V20:V21"/>
    <mergeCell ref="P21:Q21"/>
    <mergeCell ref="S20:S21"/>
    <mergeCell ref="U20:U21"/>
    <mergeCell ref="P20:Q20"/>
    <mergeCell ref="L21:M21"/>
    <mergeCell ref="L15:M15"/>
    <mergeCell ref="N15:O15"/>
    <mergeCell ref="P15:Q15"/>
    <mergeCell ref="J21:K21"/>
    <mergeCell ref="L20:M20"/>
    <mergeCell ref="B25:I25"/>
    <mergeCell ref="J25:Q25"/>
    <mergeCell ref="B26:I26"/>
    <mergeCell ref="J26:K26"/>
    <mergeCell ref="L26:M26"/>
    <mergeCell ref="N26:O26"/>
    <mergeCell ref="P26:Q26"/>
    <mergeCell ref="L18:M18"/>
    <mergeCell ref="P23:Q23"/>
    <mergeCell ref="P24:Q24"/>
    <mergeCell ref="N22:O22"/>
    <mergeCell ref="B23:I23"/>
    <mergeCell ref="J23:K23"/>
    <mergeCell ref="L23:M23"/>
    <mergeCell ref="N23:O23"/>
    <mergeCell ref="B24:I24"/>
    <mergeCell ref="N24:O24"/>
    <mergeCell ref="N21:O21"/>
    <mergeCell ref="J19:Q19"/>
    <mergeCell ref="J22:K22"/>
    <mergeCell ref="L22:M22"/>
    <mergeCell ref="L24:M24"/>
    <mergeCell ref="B21:I21"/>
    <mergeCell ref="B22:I22"/>
    <mergeCell ref="S15:T15"/>
    <mergeCell ref="P30:Q30"/>
    <mergeCell ref="J35:Q35"/>
    <mergeCell ref="S16:S17"/>
    <mergeCell ref="S29:S30"/>
    <mergeCell ref="P34:Q34"/>
    <mergeCell ref="N18:O18"/>
    <mergeCell ref="J30:K30"/>
    <mergeCell ref="S24:V26"/>
    <mergeCell ref="P22:Q22"/>
    <mergeCell ref="J24:K24"/>
    <mergeCell ref="L17:M17"/>
    <mergeCell ref="N17:O17"/>
    <mergeCell ref="V18:V19"/>
    <mergeCell ref="V16:V17"/>
    <mergeCell ref="P17:Q17"/>
    <mergeCell ref="U16:U17"/>
    <mergeCell ref="S18:S19"/>
    <mergeCell ref="U18:U19"/>
    <mergeCell ref="J17:K17"/>
    <mergeCell ref="P31:Q31"/>
    <mergeCell ref="P32:Q32"/>
    <mergeCell ref="P33:Q33"/>
    <mergeCell ref="J33:K33"/>
    <mergeCell ref="B4:Q4"/>
    <mergeCell ref="H50:J50"/>
    <mergeCell ref="C57:C58"/>
    <mergeCell ref="L30:M30"/>
    <mergeCell ref="N30:O30"/>
    <mergeCell ref="B39:I39"/>
    <mergeCell ref="J39:Q39"/>
    <mergeCell ref="B40:I40"/>
    <mergeCell ref="J40:Q40"/>
    <mergeCell ref="B38:I38"/>
    <mergeCell ref="B32:I32"/>
    <mergeCell ref="J32:K32"/>
    <mergeCell ref="L32:M32"/>
    <mergeCell ref="N32:O32"/>
    <mergeCell ref="N33:O33"/>
    <mergeCell ref="B31:I31"/>
    <mergeCell ref="J31:K31"/>
    <mergeCell ref="L31:M31"/>
    <mergeCell ref="N31:O31"/>
    <mergeCell ref="B33:I33"/>
    <mergeCell ref="P36:Q36"/>
    <mergeCell ref="B35:I35"/>
    <mergeCell ref="J34:K34"/>
    <mergeCell ref="L34:M34"/>
    <mergeCell ref="B30:I30"/>
    <mergeCell ref="B28:I28"/>
    <mergeCell ref="J28:Q28"/>
    <mergeCell ref="B27:I27"/>
    <mergeCell ref="J27:K27"/>
    <mergeCell ref="L27:M27"/>
    <mergeCell ref="N27:O27"/>
    <mergeCell ref="P27:Q27"/>
    <mergeCell ref="J38:Q38"/>
    <mergeCell ref="N37:O37"/>
    <mergeCell ref="P37:Q37"/>
    <mergeCell ref="B37:I37"/>
    <mergeCell ref="J37:K37"/>
    <mergeCell ref="L37:M37"/>
    <mergeCell ref="N34:O34"/>
    <mergeCell ref="B36:I36"/>
    <mergeCell ref="J36:K36"/>
    <mergeCell ref="L36:M36"/>
    <mergeCell ref="N36:O36"/>
    <mergeCell ref="B34:I34"/>
    <mergeCell ref="L33:M33"/>
  </mergeCells>
  <phoneticPr fontId="8" type="noConversion"/>
  <dataValidations count="4">
    <dataValidation type="list" allowBlank="1" showErrorMessage="1" errorTitle="Your input was incorrect" error="Choose your vehicle by clicking the arrow and selecting the correct vehicle" prompt="Choose your vehicle by clicking the arrow and selecting your vehicle" sqref="N7:Q7">
      <formula1>$C$50:$C$55</formula1>
    </dataValidation>
    <dataValidation type="list" allowBlank="1" showErrorMessage="1" errorTitle="The Category is incorrect" error="Please click the arrow and select your category" prompt="Choose your movement category by clicking the arrow and selecting your category" sqref="E7:H7">
      <formula1>$A$51:$A$63</formula1>
    </dataValidation>
    <dataValidation type="list" allowBlank="1" showInputMessage="1" showErrorMessage="1" sqref="N8:Q8">
      <formula1>$N$50:$N$54</formula1>
    </dataValidation>
    <dataValidation type="decimal" operator="lessThanOrEqual" allowBlank="1" showInputMessage="1" showErrorMessage="1" error="Traffic growth cannot be greater than 7%  per annum" sqref="N9:Q9">
      <formula1>0.075</formula1>
    </dataValidation>
  </dataValidations>
  <printOptions horizontalCentered="1"/>
  <pageMargins left="0.74803149606299213" right="0.74803149606299213" top="0.98425196850393704" bottom="0.98425196850393704" header="0.51181102362204722" footer="0.51181102362204722"/>
  <pageSetup paperSize="9" scale="90" orientation="portrait" r:id="rId1"/>
  <headerFooter scaleWithDoc="0" alignWithMargins="0">
    <oddHeader>&amp;L&amp;"-,Regular"&amp;8&amp;F&amp;R&amp;"-,Regular"&amp;8&amp;A
_______________________________________________________________________________</oddHeader>
    <oddFooter>&amp;L&amp;"-,Regular"&amp;8__________________________________________________________________________________
NZ Transport Agency’s Economic evaluation manual 
Effective from Jul 2013</oddFooter>
  </headerFooter>
  <colBreaks count="1" manualBreakCount="1">
    <brk id="18"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73B94833B22042B37B3805BD5405B7" ma:contentTypeVersion="1" ma:contentTypeDescription="Create a new document." ma:contentTypeScope="" ma:versionID="74ce5a6bfb5666e8fafdcf1240790332">
  <xsd:schema xmlns:xsd="http://www.w3.org/2001/XMLSchema" xmlns:xs="http://www.w3.org/2001/XMLSchema" xmlns:p="http://schemas.microsoft.com/office/2006/metadata/properties" xmlns:ns2="62675606-c153-4ac2-b1cb-6b85730bdb36" targetNamespace="http://schemas.microsoft.com/office/2006/metadata/properties" ma:root="true" ma:fieldsID="6837679154367064aa8f03b691f87552" ns2:_="">
    <xsd:import namespace="62675606-c153-4ac2-b1cb-6b85730bdb3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675606-c153-4ac2-b1cb-6b85730bdb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C5851F-43D0-4E5D-8E8E-ADA47C7F8315}">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2675606-c153-4ac2-b1cb-6b85730bdb36"/>
    <ds:schemaRef ds:uri="http://www.w3.org/XML/1998/namespace"/>
  </ds:schemaRefs>
</ds:datastoreItem>
</file>

<file path=customXml/itemProps2.xml><?xml version="1.0" encoding="utf-8"?>
<ds:datastoreItem xmlns:ds="http://schemas.openxmlformats.org/officeDocument/2006/customXml" ds:itemID="{D63698F1-4893-4079-AF0E-D38EC5DE8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675606-c153-4ac2-b1cb-6b85730bdb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39F541-08B6-4113-AB20-CD01F5423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26</vt:i4>
      </vt:variant>
    </vt:vector>
  </HeadingPairs>
  <TitlesOfParts>
    <vt:vector size="42" baseType="lpstr">
      <vt:lpstr>W1 - Summary_Upload</vt:lpstr>
      <vt:lpstr>SP11-1</vt:lpstr>
      <vt:lpstr>SP11-2</vt:lpstr>
      <vt:lpstr>SP11-3 (1)</vt:lpstr>
      <vt:lpstr>SP11-3 (2)</vt:lpstr>
      <vt:lpstr>SP11-3 (3)</vt:lpstr>
      <vt:lpstr>SP11-4</vt:lpstr>
      <vt:lpstr>SP11-5</vt:lpstr>
      <vt:lpstr>SP11-6</vt:lpstr>
      <vt:lpstr>SP11-7</vt:lpstr>
      <vt:lpstr>SP11-8</vt:lpstr>
      <vt:lpstr>Tables</vt:lpstr>
      <vt:lpstr>Cost Estimates</vt:lpstr>
      <vt:lpstr>Sensitivity</vt:lpstr>
      <vt:lpstr>Working</vt:lpstr>
      <vt:lpstr>Notes</vt:lpstr>
      <vt:lpstr>Tables!_Toc149723404</vt:lpstr>
      <vt:lpstr>Tables!_Toc149723405</vt:lpstr>
      <vt:lpstr>Tables!_Toc149723406</vt:lpstr>
      <vt:lpstr>Tables!_Toc149723407</vt:lpstr>
      <vt:lpstr>Tables!_Toc149723408</vt:lpstr>
      <vt:lpstr>Tables!_Toc149723409</vt:lpstr>
      <vt:lpstr>Tables!_Toc18127489</vt:lpstr>
      <vt:lpstr>Tables!_Toc18207243</vt:lpstr>
      <vt:lpstr>Tables!_Toc18207244</vt:lpstr>
      <vt:lpstr>Tables!_Toc18207246</vt:lpstr>
      <vt:lpstr>Tables!_Toc18207247</vt:lpstr>
      <vt:lpstr>Tables!_Toc18207248</vt:lpstr>
      <vt:lpstr>Tables!_Toc18207249</vt:lpstr>
      <vt:lpstr>Tables!_Toc18207251</vt:lpstr>
      <vt:lpstr>Tables!_Toc18207253</vt:lpstr>
      <vt:lpstr>Tables!_Toc18207255</vt:lpstr>
      <vt:lpstr>'SP11-1'!Print_Area</vt:lpstr>
      <vt:lpstr>'SP11-2'!Print_Area</vt:lpstr>
      <vt:lpstr>'SP11-3 (1)'!Print_Area</vt:lpstr>
      <vt:lpstr>'SP11-3 (2)'!Print_Area</vt:lpstr>
      <vt:lpstr>'SP11-3 (3)'!Print_Area</vt:lpstr>
      <vt:lpstr>'SP11-4'!Print_Area</vt:lpstr>
      <vt:lpstr>'SP11-5'!Print_Area</vt:lpstr>
      <vt:lpstr>'SP11-6'!Print_Area</vt:lpstr>
      <vt:lpstr>'SP11-7'!Print_Area</vt:lpstr>
      <vt:lpstr>'W1 - Summary_Upload'!Print_Area</vt:lpstr>
    </vt:vector>
  </TitlesOfParts>
  <Company>Land Transport Safety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Infrastructural Services</dc:creator>
  <cp:lastModifiedBy>Hannah Turk</cp:lastModifiedBy>
  <cp:lastPrinted>2013-11-29T04:07:32Z</cp:lastPrinted>
  <dcterms:created xsi:type="dcterms:W3CDTF">2006-11-27T00:30:31Z</dcterms:created>
  <dcterms:modified xsi:type="dcterms:W3CDTF">2018-06-28T00:23:18Z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2010-05-07T00:00:00Z</vt:filetime>
  </property>
  <property fmtid="{D5CDD505-2E9C-101B-9397-08002B2CF9AE}" pid="4" name="Objective-Id">
    <vt:lpwstr>B1052556</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2010-06-17T00:00:00Z</vt:filetime>
  </property>
  <property fmtid="{D5CDD505-2E9C-101B-9397-08002B2CF9AE}" pid="9" name="Objective-Owner">
    <vt:lpwstr>Sandy Fong</vt:lpwstr>
  </property>
  <property fmtid="{D5CDD505-2E9C-101B-9397-08002B2CF9AE}" pid="10" name="Objective-Path">
    <vt:lpwstr>File plan:Land Transport NZ file plan:Policy and standards development:Economic evaluation:Economic evaluation manual vol 2:2010 Revision:Spreadsheets:</vt:lpwstr>
  </property>
  <property fmtid="{D5CDD505-2E9C-101B-9397-08002B2CF9AE}" pid="11" name="Objective-Parent">
    <vt:lpwstr>Spreadsheets</vt:lpwstr>
  </property>
  <property fmtid="{D5CDD505-2E9C-101B-9397-08002B2CF9AE}" pid="12" name="Objective-State">
    <vt:lpwstr>Being Edited</vt:lpwstr>
  </property>
  <property fmtid="{D5CDD505-2E9C-101B-9397-08002B2CF9AE}" pid="13" name="Objective-Title">
    <vt:lpwstr>sp11-walking-and-cycling-facilities</vt:lpwstr>
  </property>
  <property fmtid="{D5CDD505-2E9C-101B-9397-08002B2CF9AE}" pid="14" name="Objective-Version">
    <vt:lpwstr>0.6</vt:lpwstr>
  </property>
  <property fmtid="{D5CDD505-2E9C-101B-9397-08002B2CF9AE}" pid="15" name="Objective-VersionComment">
    <vt:lpwstr/>
  </property>
  <property fmtid="{D5CDD505-2E9C-101B-9397-08002B2CF9AE}" pid="16" name="Objective-VersionNumber">
    <vt:i4>6</vt:i4>
  </property>
  <property fmtid="{D5CDD505-2E9C-101B-9397-08002B2CF9AE}" pid="17" name="Objective-FileNumber">
    <vt:lpwstr>PSG-21-03-13</vt:lpwstr>
  </property>
  <property fmtid="{D5CDD505-2E9C-101B-9397-08002B2CF9AE}" pid="18" name="Objective-Classification">
    <vt:lpwstr>Not classified</vt:lpwstr>
  </property>
  <property fmtid="{D5CDD505-2E9C-101B-9397-08002B2CF9AE}" pid="19" name="Objective-Caveats">
    <vt:lpwstr/>
  </property>
</Properties>
</file>