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620" windowWidth="15330" windowHeight="4080" tabRatio="899" activeTab="10"/>
  </bookViews>
  <sheets>
    <sheet name="Instructions" sheetId="45" r:id="rId1"/>
    <sheet name="Rate Summary" sheetId="42" r:id="rId2"/>
    <sheet name="Summary Costs" sheetId="16" r:id="rId3"/>
    <sheet name="Compare" sheetId="21" r:id="rId4"/>
    <sheet name="Rates Allocation" sheetId="17" r:id="rId5"/>
    <sheet name="RCV and ECV" sheetId="15" r:id="rId6"/>
    <sheet name="Essbase Download" sheetId="43" r:id="rId7"/>
    <sheet name="Rail-Sum" sheetId="28" r:id="rId8"/>
    <sheet name="Bus-Sum" sheetId="73" r:id="rId9"/>
    <sheet name="Bus-Base Data" sheetId="72" r:id="rId10"/>
    <sheet name="Contracts " sheetId="105" r:id="rId11"/>
    <sheet name="Contracts inf" sheetId="106" r:id="rId12"/>
    <sheet name="Policy Allocations" sheetId="1" r:id="rId13"/>
    <sheet name="Total Trips Model" sheetId="18"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1__123Graph_ACHART_1" hidden="1">[1]Fares!$B$5:$B$31</definedName>
    <definedName name="_10__123Graph_XCHART_1" hidden="1">[1]Fares!$A$5:$A$31</definedName>
    <definedName name="_11__123Graph_XCHART_2" hidden="1">[1]Fares!$A$5:$A$31</definedName>
    <definedName name="_12__123Graph_XCHART_3" hidden="1">[1]Fares!$A$5:$A$31</definedName>
    <definedName name="_13__123Graph_XCHART_5" hidden="1">'[1]Vols&amp;Rev'!$A$3:$A$35</definedName>
    <definedName name="_14__123Graph_XCHART_6" hidden="1">'[1]Vols&amp;Rev'!$A$3:$A$35</definedName>
    <definedName name="_2__123Graph_ACHART_2" hidden="1">[1]Fares!$C$5:$C$31</definedName>
    <definedName name="_3__123Graph_ACHART_3" hidden="1">[1]Fares!$D$5:$D$31</definedName>
    <definedName name="_4__123Graph_ACHART_4" hidden="1">'[1]Vols&amp;Rev'!$H$3:$H$35</definedName>
    <definedName name="_5__123Graph_ACHART_5" hidden="1">'[1]Vols&amp;Rev'!$K$3:$K$35</definedName>
    <definedName name="_6__123Graph_ACHART_6" hidden="1">'[1]Vols&amp;Rev'!$M$3:$M$35</definedName>
    <definedName name="_7__123Graph_BCHART_1" hidden="1">[1]Fares!$F$5:$F$31</definedName>
    <definedName name="_8__123Graph_BCHART_3" hidden="1">[1]Fares!$G$5:$G$31</definedName>
    <definedName name="_9__123Graph_BCHART_6" hidden="1">'[1]Vols&amp;Rev'!$O$3:$O$35</definedName>
    <definedName name="_aaa_mthly_stuff">#REF!</definedName>
    <definedName name="_aaa_print_contracts_0607">#REF!</definedName>
    <definedName name="_cars">#REF!</definedName>
    <definedName name="_DAT1">#REF!</definedName>
    <definedName name="_DAT10">#REF!</definedName>
    <definedName name="_DAT11">#REF!</definedName>
    <definedName name="_DAT12">#REF!</definedName>
    <definedName name="_DAT13">#REF!</definedName>
    <definedName name="_DAT14">#REF!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2">[2]Index!$D$4:$F$34</definedName>
    <definedName name="_FBT1">[3]Rates!$G$27</definedName>
    <definedName name="_FBT2">[3]Rates!$G$29</definedName>
    <definedName name="_FBT4">[3]Rates!$G$33</definedName>
    <definedName name="_FileDir">[4]Header!$D$15</definedName>
    <definedName name="_FileName">[4]Header!$D$16</definedName>
    <definedName name="_xlnm._FilterDatabase" localSheetId="9" hidden="1">'Bus-Base Data'!$A$4:$AG$91</definedName>
    <definedName name="_xlnm._FilterDatabase" localSheetId="8" hidden="1">'Bus-Sum'!#REF!</definedName>
    <definedName name="_xlnm._FilterDatabase" localSheetId="10" hidden="1">'Contracts '!$C$1:$I$90</definedName>
    <definedName name="_xlnm._FilterDatabase" localSheetId="11" hidden="1">'Contracts inf'!$B$1:$BX$82</definedName>
    <definedName name="_Gifts">#REF!</definedName>
    <definedName name="_Inc1">[3]Rates!$F$12</definedName>
    <definedName name="_Inc3">[3]Rates!$F$16</definedName>
    <definedName name="_Jun03">[2]Index!$J$4:$L$36</definedName>
    <definedName name="_Mar03">[2]Index!$G$4:$I$35</definedName>
    <definedName name="_March">#REF!</definedName>
    <definedName name="_Order1" hidden="1">255</definedName>
    <definedName name="_salary">'[5]Salary Dec Q'!$A$1:$I$458</definedName>
    <definedName name="_salary2">#REF!</definedName>
    <definedName name="_Sep02">[2]Index!$A$4:$C$33</definedName>
    <definedName name="_southernX">#REF!</definedName>
    <definedName name="_temp">#REF!</definedName>
    <definedName name="_tmp">#REF!</definedName>
    <definedName name="_tmp1">'[6]Fiona FBT report'!$A$2:$I$632</definedName>
    <definedName name="_tmp2">#REF!</definedName>
    <definedName name="_trauma">#REF!</definedName>
    <definedName name="_Vehicles">#REF!</definedName>
    <definedName name="address_book">#REF!</definedName>
    <definedName name="Cbd">'Policy Allocations'!$H$16</definedName>
    <definedName name="data">'[7]Vlookup data'!$A$1:$D$471</definedName>
    <definedName name="_xlnm.Database">#REF!</definedName>
    <definedName name="DatabaseCP">#REF!</definedName>
    <definedName name="DatabaseSX">#REF!</definedName>
    <definedName name="DatabaseSX2">#REF!</definedName>
    <definedName name="DatabaseTrans">#REF!</definedName>
    <definedName name="DECEMBER">[8]CPP!#REF!</definedName>
    <definedName name="EssAliasTable" localSheetId="6">"Default"</definedName>
    <definedName name="EssfHasNonUnique" localSheetId="6">FALSE</definedName>
    <definedName name="EssLatest" localSheetId="6">"h1"</definedName>
    <definedName name="EssLatest">"h1"</definedName>
    <definedName name="EssOptions" localSheetId="6">"A1100000000111010011101100020_010010"</definedName>
    <definedName name="EssOptions">"A1100000000111010000101100000_01000"</definedName>
    <definedName name="EssSamplingValue" localSheetId="6">100</definedName>
    <definedName name="FBTbottom1">[3]Rates!$K$27</definedName>
    <definedName name="FBTbottom2">[3]Rates!$K$29</definedName>
    <definedName name="FBTbottom3">[3]Rates!$K$31</definedName>
    <definedName name="FBTRate1">[3]Rates!$I$27</definedName>
    <definedName name="FBTRate2">[3]Rates!$I$29</definedName>
    <definedName name="FBTRate3">[3]Rates!$I$31</definedName>
    <definedName name="FBTRate4">[3]Rates!$I$33</definedName>
    <definedName name="GL_texts">#REF!</definedName>
    <definedName name="Header">#REF!</definedName>
    <definedName name="IncBottom1">[3]Rates!$J$12</definedName>
    <definedName name="IncBottom2">[3]Rates!$J$14</definedName>
    <definedName name="IncRate1">[3]Rates!$H$12</definedName>
    <definedName name="IncRate2">[3]Rates!$H$14</definedName>
    <definedName name="IncRate3">[3]Rates!$H$16</definedName>
    <definedName name="inflation_payts">#REF!</definedName>
    <definedName name="lookup">#REF!</definedName>
    <definedName name="LowInc1">[3]Rates!$F$19</definedName>
    <definedName name="LowRate1">[3]Rates!$H$19</definedName>
    <definedName name="LowRate2">[3]Rates!$H$21</definedName>
    <definedName name="LTNZ_funding">#REF!</definedName>
    <definedName name="March">[8]CPP!#REF!</definedName>
    <definedName name="paratransit">'Summary Costs'!$C$19</definedName>
    <definedName name="_xlnm.Print_Area" localSheetId="3">Compare!$A$1:$R$59</definedName>
    <definedName name="_xlnm.Print_Area" localSheetId="10">'Contracts '!#REF!</definedName>
    <definedName name="_xlnm.Print_Area" localSheetId="6">'Essbase Download'!$A$1:$E$346</definedName>
    <definedName name="_xlnm.Print_Area" localSheetId="1">'Rate Summary'!$A$1:$O$43</definedName>
    <definedName name="_xlnm.Print_Area" localSheetId="4">'Rates Allocation'!$A$1:$S$67</definedName>
    <definedName name="_xlnm.Print_Area" localSheetId="5">'RCV and ECV'!$A$1:$K$53</definedName>
    <definedName name="_xlnm.Print_Area" localSheetId="2">'Summary Costs'!$A$1:$K$29</definedName>
    <definedName name="_xlnm.Print_Titles" localSheetId="9">'Bus-Base Data'!$4:$4</definedName>
    <definedName name="_xlnm.Print_Titles" localSheetId="3">Compare!$2:$3</definedName>
    <definedName name="_xlnm.Print_Titles" localSheetId="10">'Contracts '!$1:$1</definedName>
    <definedName name="_xlnm.Print_Titles" localSheetId="11">'Contracts inf'!$1:$1</definedName>
    <definedName name="_xlnm.Print_Titles" localSheetId="6">'Essbase Download'!$1:$3</definedName>
    <definedName name="_xlnm.Print_Titles" localSheetId="5">'RCV and ECV'!$A:$A</definedName>
    <definedName name="Qtly_payts">#REF!</definedName>
    <definedName name="SAPTable">#REF!</definedName>
    <definedName name="Sept06_inflation_payts">#REF!</definedName>
    <definedName name="smtemp">#REF!</definedName>
    <definedName name="social">'Policy Allocations'!$H$24</definedName>
    <definedName name="StaffTable">#REF!</definedName>
    <definedName name="TEST0">#REF!</definedName>
    <definedName name="TESTHKEY">#REF!</definedName>
    <definedName name="TESTKEYS">#REF!</definedName>
    <definedName name="TESTVKEY">#REF!</definedName>
    <definedName name="trauma">#REF!</definedName>
    <definedName name="TraumaTable">#REF!</definedName>
  </definedNames>
  <calcPr calcId="145621"/>
</workbook>
</file>

<file path=xl/calcChain.xml><?xml version="1.0" encoding="utf-8"?>
<calcChain xmlns="http://schemas.openxmlformats.org/spreadsheetml/2006/main">
  <c r="J88" i="105" l="1"/>
  <c r="I82" i="106"/>
  <c r="B51" i="15" l="1"/>
  <c r="H111" i="72" l="1"/>
  <c r="G111" i="72"/>
  <c r="H77" i="72"/>
  <c r="H76" i="72"/>
  <c r="H75" i="72"/>
  <c r="H74" i="72"/>
  <c r="H73" i="72"/>
  <c r="H72" i="72"/>
  <c r="H71" i="72"/>
  <c r="H70" i="72"/>
  <c r="H69" i="72"/>
  <c r="H68" i="72"/>
  <c r="H67" i="72"/>
  <c r="H66" i="72"/>
  <c r="H65" i="72"/>
  <c r="H64" i="72"/>
  <c r="H63" i="72"/>
  <c r="H62" i="72"/>
  <c r="H61" i="72"/>
  <c r="H60" i="72"/>
  <c r="H59" i="72"/>
  <c r="H58" i="72"/>
  <c r="H56" i="72"/>
  <c r="H55" i="72"/>
  <c r="H54" i="72"/>
  <c r="H53" i="72"/>
  <c r="H52" i="72"/>
  <c r="H49" i="72"/>
  <c r="H48" i="72"/>
  <c r="H47" i="72"/>
  <c r="H46" i="72"/>
  <c r="H45" i="72"/>
  <c r="H44" i="72"/>
  <c r="H43" i="72"/>
  <c r="H42" i="72"/>
  <c r="H41" i="72"/>
  <c r="H40" i="72"/>
  <c r="H39" i="72"/>
  <c r="H38" i="72"/>
  <c r="H37" i="72"/>
  <c r="H36" i="72"/>
  <c r="H35" i="72"/>
  <c r="H34" i="72"/>
  <c r="H33" i="72"/>
  <c r="H32" i="72"/>
  <c r="H31" i="72"/>
  <c r="H30" i="72"/>
  <c r="H8" i="72"/>
  <c r="H9" i="72"/>
  <c r="H10" i="72"/>
  <c r="H11" i="72"/>
  <c r="H12" i="72"/>
  <c r="H13" i="72"/>
  <c r="H14" i="72"/>
  <c r="H15" i="72"/>
  <c r="H16" i="72"/>
  <c r="H17" i="72"/>
  <c r="H18" i="72"/>
  <c r="H19" i="72"/>
  <c r="H20" i="72"/>
  <c r="H21" i="72"/>
  <c r="H22" i="72"/>
  <c r="H23" i="72"/>
  <c r="H24" i="72"/>
  <c r="H25" i="72"/>
  <c r="H26" i="72"/>
  <c r="H27" i="72"/>
  <c r="H28" i="72"/>
  <c r="H7" i="72"/>
  <c r="G79" i="72"/>
  <c r="G80" i="72"/>
  <c r="G81" i="72"/>
  <c r="G82" i="72"/>
  <c r="G83" i="72"/>
  <c r="G84" i="72"/>
  <c r="G85" i="72"/>
  <c r="G86" i="72"/>
  <c r="G87" i="72"/>
  <c r="G88" i="72"/>
  <c r="V39" i="72"/>
  <c r="G39" i="72"/>
  <c r="G77" i="72"/>
  <c r="G76" i="72"/>
  <c r="G75" i="72"/>
  <c r="G74" i="72"/>
  <c r="G73" i="72"/>
  <c r="G72" i="72"/>
  <c r="G71" i="72"/>
  <c r="G70" i="72"/>
  <c r="G69" i="72"/>
  <c r="G68" i="72"/>
  <c r="G67" i="72"/>
  <c r="G66" i="72"/>
  <c r="G65" i="72"/>
  <c r="G64" i="72"/>
  <c r="G63" i="72"/>
  <c r="G62" i="72"/>
  <c r="G61" i="72"/>
  <c r="G60" i="72"/>
  <c r="G59" i="72"/>
  <c r="G58" i="72"/>
  <c r="G57" i="72"/>
  <c r="G56" i="72"/>
  <c r="G55" i="72"/>
  <c r="G54" i="72"/>
  <c r="G53" i="72"/>
  <c r="G52" i="72"/>
  <c r="G51" i="72"/>
  <c r="G50" i="72"/>
  <c r="G49" i="72"/>
  <c r="G48" i="72"/>
  <c r="G47" i="72"/>
  <c r="G46" i="72"/>
  <c r="G45" i="72"/>
  <c r="G44" i="72"/>
  <c r="G43" i="72"/>
  <c r="G42" i="72"/>
  <c r="G41" i="72"/>
  <c r="G40" i="72"/>
  <c r="G38" i="72"/>
  <c r="G37" i="72"/>
  <c r="G36" i="72"/>
  <c r="G35" i="72"/>
  <c r="G34" i="72"/>
  <c r="G33" i="72"/>
  <c r="G32" i="72"/>
  <c r="G31" i="72"/>
  <c r="G30" i="72"/>
  <c r="G29" i="72"/>
  <c r="G28" i="72"/>
  <c r="G27" i="72"/>
  <c r="G26" i="72"/>
  <c r="G25" i="72"/>
  <c r="G24" i="72"/>
  <c r="G23" i="72"/>
  <c r="G22" i="72"/>
  <c r="G21" i="72"/>
  <c r="G20" i="72"/>
  <c r="G19" i="72"/>
  <c r="G18" i="72"/>
  <c r="G17" i="72"/>
  <c r="G16" i="72"/>
  <c r="G15" i="72"/>
  <c r="G14" i="72"/>
  <c r="G13" i="72"/>
  <c r="G12" i="72"/>
  <c r="G11" i="72"/>
  <c r="G10" i="72"/>
  <c r="G9" i="72"/>
  <c r="G8" i="72"/>
  <c r="G7" i="72"/>
  <c r="G6" i="72"/>
  <c r="I39" i="72" l="1"/>
  <c r="K39" i="72" s="1"/>
  <c r="D231" i="43"/>
  <c r="E231" i="43"/>
  <c r="C231" i="43"/>
  <c r="D148" i="43"/>
  <c r="E148" i="43"/>
  <c r="C148" i="43"/>
  <c r="D337" i="43"/>
  <c r="E337" i="43"/>
  <c r="C337" i="43"/>
  <c r="D183" i="43"/>
  <c r="E183" i="43"/>
  <c r="F182" i="43"/>
  <c r="C183" i="43"/>
  <c r="E180" i="43" l="1"/>
  <c r="E195" i="43" s="1"/>
  <c r="D180" i="43"/>
  <c r="D195" i="43" s="1"/>
  <c r="C180" i="43"/>
  <c r="C195" i="43" s="1"/>
  <c r="E112" i="43"/>
  <c r="D112" i="43"/>
  <c r="C112" i="43"/>
  <c r="E99" i="43"/>
  <c r="D99" i="43"/>
  <c r="C99" i="43"/>
  <c r="E86" i="43"/>
  <c r="D86" i="43"/>
  <c r="C86" i="43"/>
  <c r="E82" i="43"/>
  <c r="D82" i="43"/>
  <c r="C82" i="43"/>
  <c r="E70" i="43"/>
  <c r="D70" i="43"/>
  <c r="C70" i="43"/>
  <c r="E61" i="43"/>
  <c r="D61" i="43"/>
  <c r="C61" i="43"/>
  <c r="E56" i="43"/>
  <c r="D56" i="43"/>
  <c r="C56" i="43"/>
  <c r="E313" i="43"/>
  <c r="D313" i="43"/>
  <c r="C313" i="43"/>
  <c r="C149" i="43" l="1"/>
  <c r="E149" i="43"/>
  <c r="D149" i="43"/>
  <c r="E345" i="43" l="1"/>
  <c r="D345" i="43"/>
  <c r="E322" i="43"/>
  <c r="D322" i="43"/>
  <c r="C322" i="43"/>
  <c r="D338" i="43" l="1"/>
  <c r="C338" i="43"/>
  <c r="E338" i="43"/>
  <c r="E12" i="18" l="1"/>
  <c r="E11" i="18"/>
  <c r="E10" i="18"/>
  <c r="E9" i="18"/>
  <c r="E8" i="18"/>
  <c r="E7" i="18"/>
  <c r="E6" i="18"/>
  <c r="E5" i="18"/>
  <c r="E4" i="18"/>
  <c r="J7" i="18"/>
  <c r="H7" i="18"/>
  <c r="I7" i="18"/>
  <c r="G7" i="18"/>
  <c r="F7" i="18"/>
  <c r="D7" i="18"/>
  <c r="C7" i="18"/>
  <c r="B7" i="18"/>
  <c r="I29" i="72" l="1"/>
  <c r="K29" i="72" s="1"/>
  <c r="V29" i="72"/>
  <c r="V21" i="72"/>
  <c r="V22" i="72"/>
  <c r="I22" i="72"/>
  <c r="K22" i="72" s="1"/>
  <c r="I21" i="72" l="1"/>
  <c r="K21" i="72" s="1"/>
  <c r="C347" i="43" l="1"/>
  <c r="H91" i="72" l="1"/>
  <c r="G91" i="72" l="1"/>
  <c r="I75" i="72" l="1"/>
  <c r="K75" i="72" s="1"/>
  <c r="I73" i="72"/>
  <c r="K73" i="72" s="1"/>
  <c r="I71" i="72"/>
  <c r="K71" i="72" s="1"/>
  <c r="I69" i="72"/>
  <c r="K69" i="72" s="1"/>
  <c r="I63" i="72"/>
  <c r="K63" i="72" s="1"/>
  <c r="I61" i="72"/>
  <c r="K61" i="72" s="1"/>
  <c r="I54" i="72"/>
  <c r="K54" i="72" s="1"/>
  <c r="I11" i="72"/>
  <c r="K11" i="72" s="1"/>
  <c r="I15" i="72"/>
  <c r="K15" i="72" s="1"/>
  <c r="I25" i="72"/>
  <c r="K25" i="72" s="1"/>
  <c r="I34" i="72"/>
  <c r="K34" i="72" s="1"/>
  <c r="I36" i="72"/>
  <c r="K36" i="72" s="1"/>
  <c r="I38" i="72"/>
  <c r="K38" i="72" s="1"/>
  <c r="I40" i="72"/>
  <c r="K40" i="72" s="1"/>
  <c r="I48" i="72"/>
  <c r="K48" i="72" s="1"/>
  <c r="I7" i="72"/>
  <c r="I30" i="72"/>
  <c r="K30" i="72" s="1"/>
  <c r="I9" i="72"/>
  <c r="K9" i="72" s="1"/>
  <c r="B70" i="15"/>
  <c r="C70" i="15"/>
  <c r="C73" i="15" s="1"/>
  <c r="K102" i="72"/>
  <c r="K103" i="72"/>
  <c r="L103" i="72" s="1"/>
  <c r="M103" i="72" s="1"/>
  <c r="K104" i="72"/>
  <c r="L104" i="72" s="1"/>
  <c r="M104" i="72" s="1"/>
  <c r="V59" i="72"/>
  <c r="I77" i="72"/>
  <c r="K77" i="72" s="1"/>
  <c r="I65" i="72"/>
  <c r="K65" i="72" s="1"/>
  <c r="I66" i="72"/>
  <c r="K66" i="72" s="1"/>
  <c r="I67" i="72"/>
  <c r="K67" i="72" s="1"/>
  <c r="I68" i="72"/>
  <c r="K68" i="72" s="1"/>
  <c r="I70" i="72"/>
  <c r="K70" i="72" s="1"/>
  <c r="I72" i="72"/>
  <c r="K72" i="72" s="1"/>
  <c r="I74" i="72"/>
  <c r="K74" i="72" s="1"/>
  <c r="I76" i="72"/>
  <c r="K76" i="72" s="1"/>
  <c r="I60" i="72"/>
  <c r="K60" i="72" s="1"/>
  <c r="I62" i="72"/>
  <c r="K62" i="72" s="1"/>
  <c r="I64" i="72"/>
  <c r="K64" i="72" s="1"/>
  <c r="I79" i="72"/>
  <c r="K79" i="72" s="1"/>
  <c r="I8" i="72"/>
  <c r="K8" i="72" s="1"/>
  <c r="I16" i="72"/>
  <c r="K16" i="72" s="1"/>
  <c r="I17" i="72"/>
  <c r="K17" i="72" s="1"/>
  <c r="I18" i="72"/>
  <c r="K18" i="72" s="1"/>
  <c r="I19" i="72"/>
  <c r="K19" i="72" s="1"/>
  <c r="I10" i="72"/>
  <c r="K10" i="72" s="1"/>
  <c r="I12" i="72"/>
  <c r="K12" i="72" s="1"/>
  <c r="I14" i="72"/>
  <c r="K14" i="72" s="1"/>
  <c r="I20" i="72"/>
  <c r="K20" i="72" s="1"/>
  <c r="I13" i="72"/>
  <c r="K13" i="72" s="1"/>
  <c r="I6" i="72"/>
  <c r="I80" i="72"/>
  <c r="K80" i="72" s="1"/>
  <c r="I81" i="72"/>
  <c r="K81" i="72" s="1"/>
  <c r="I82" i="72"/>
  <c r="K82" i="72" s="1"/>
  <c r="I83" i="72"/>
  <c r="K83" i="72" s="1"/>
  <c r="I37" i="72"/>
  <c r="K37" i="72" s="1"/>
  <c r="I42" i="72"/>
  <c r="K42" i="72" s="1"/>
  <c r="I43" i="72"/>
  <c r="K43" i="72" s="1"/>
  <c r="I44" i="72"/>
  <c r="K44" i="72" s="1"/>
  <c r="I45" i="72"/>
  <c r="K45" i="72" s="1"/>
  <c r="I46" i="72"/>
  <c r="K46" i="72" s="1"/>
  <c r="I32" i="72"/>
  <c r="K32" i="72" s="1"/>
  <c r="I33" i="72"/>
  <c r="K33" i="72" s="1"/>
  <c r="I41" i="72"/>
  <c r="K41" i="72" s="1"/>
  <c r="I35" i="72"/>
  <c r="K35" i="72" s="1"/>
  <c r="I31" i="72"/>
  <c r="K31" i="72" s="1"/>
  <c r="I49" i="72"/>
  <c r="K49" i="72" s="1"/>
  <c r="I47" i="72"/>
  <c r="K47" i="72" s="1"/>
  <c r="I50" i="72"/>
  <c r="K50" i="72" s="1"/>
  <c r="I51" i="72"/>
  <c r="K51" i="72" s="1"/>
  <c r="I84" i="72"/>
  <c r="K84" i="72" s="1"/>
  <c r="I85" i="72"/>
  <c r="K85" i="72" s="1"/>
  <c r="I86" i="72"/>
  <c r="K86" i="72" s="1"/>
  <c r="I55" i="72"/>
  <c r="K55" i="72" s="1"/>
  <c r="I56" i="72"/>
  <c r="K56" i="72" s="1"/>
  <c r="I58" i="72"/>
  <c r="K58" i="72" s="1"/>
  <c r="I59" i="72"/>
  <c r="K59" i="72" s="1"/>
  <c r="I57" i="72"/>
  <c r="K57" i="72" s="1"/>
  <c r="I28" i="72"/>
  <c r="K28" i="72" s="1"/>
  <c r="I26" i="72"/>
  <c r="K26" i="72" s="1"/>
  <c r="I27" i="72"/>
  <c r="K27" i="72" s="1"/>
  <c r="I53" i="72"/>
  <c r="K53" i="72" s="1"/>
  <c r="I87" i="72"/>
  <c r="K87" i="72" s="1"/>
  <c r="I23" i="72"/>
  <c r="K23" i="72" s="1"/>
  <c r="I24" i="72"/>
  <c r="K24" i="72" s="1"/>
  <c r="I52" i="72"/>
  <c r="K52" i="72" s="1"/>
  <c r="I88" i="72"/>
  <c r="K88" i="72" s="1"/>
  <c r="Q64" i="17"/>
  <c r="I78" i="72"/>
  <c r="K78" i="72" s="1"/>
  <c r="C15" i="16"/>
  <c r="D6" i="16"/>
  <c r="H45" i="15"/>
  <c r="G48" i="15" s="1"/>
  <c r="H40" i="15"/>
  <c r="G42" i="15" s="1"/>
  <c r="F49" i="17" s="1"/>
  <c r="H35" i="15"/>
  <c r="G38" i="15" s="1"/>
  <c r="H30" i="15"/>
  <c r="I30" i="15" s="1"/>
  <c r="H25" i="15"/>
  <c r="G27" i="15"/>
  <c r="D31" i="17" s="1"/>
  <c r="H20" i="15"/>
  <c r="G23" i="15"/>
  <c r="C27" i="17" s="1"/>
  <c r="F27" i="17" s="1"/>
  <c r="H15" i="15"/>
  <c r="H9" i="15"/>
  <c r="G12" i="15" s="1"/>
  <c r="G47" i="15"/>
  <c r="C55" i="17" s="1"/>
  <c r="E55" i="17" s="1"/>
  <c r="G36" i="15"/>
  <c r="C42" i="17" s="1"/>
  <c r="E42" i="17" s="1"/>
  <c r="H4" i="1"/>
  <c r="D5" i="73"/>
  <c r="K12" i="18"/>
  <c r="L12" i="18" s="1"/>
  <c r="K5" i="18"/>
  <c r="L5" i="18" s="1"/>
  <c r="K6" i="18"/>
  <c r="J10" i="17"/>
  <c r="J17" i="17"/>
  <c r="J23" i="17"/>
  <c r="J29" i="17"/>
  <c r="J35" i="17"/>
  <c r="I10" i="17"/>
  <c r="I17" i="17"/>
  <c r="I23" i="17"/>
  <c r="I29" i="17"/>
  <c r="I35" i="17"/>
  <c r="I41" i="17"/>
  <c r="I47" i="17"/>
  <c r="I53" i="17"/>
  <c r="C14" i="16"/>
  <c r="C16" i="16"/>
  <c r="C17" i="16"/>
  <c r="C19" i="16"/>
  <c r="B9" i="28"/>
  <c r="C9" i="28" s="1"/>
  <c r="G44" i="1"/>
  <c r="H38" i="1" s="1"/>
  <c r="G22" i="15"/>
  <c r="G21" i="15"/>
  <c r="F24" i="17" s="1"/>
  <c r="G11" i="15"/>
  <c r="F12" i="17" s="1"/>
  <c r="H39" i="1"/>
  <c r="C25" i="17"/>
  <c r="E25" i="17" s="1"/>
  <c r="K8" i="18"/>
  <c r="L8" i="18" s="1"/>
  <c r="K9" i="18"/>
  <c r="L9" i="18" s="1"/>
  <c r="K10" i="18"/>
  <c r="K11" i="18"/>
  <c r="D13" i="18"/>
  <c r="M6" i="18" s="1"/>
  <c r="B13" i="18"/>
  <c r="M4" i="18" s="1"/>
  <c r="F13" i="18"/>
  <c r="G13" i="18"/>
  <c r="H13" i="18"/>
  <c r="M10" i="18" s="1"/>
  <c r="I13" i="18"/>
  <c r="M11" i="18" s="1"/>
  <c r="J13" i="18"/>
  <c r="M12" i="18" s="1"/>
  <c r="G20" i="42"/>
  <c r="E26" i="16"/>
  <c r="G5" i="45"/>
  <c r="V51" i="72"/>
  <c r="X106" i="72"/>
  <c r="Y106" i="72"/>
  <c r="Z106" i="72"/>
  <c r="AA106" i="72"/>
  <c r="AB106" i="72"/>
  <c r="AC106" i="72"/>
  <c r="AD106" i="72"/>
  <c r="AE106" i="72"/>
  <c r="AF106" i="72"/>
  <c r="C45" i="15"/>
  <c r="V24" i="72"/>
  <c r="B57" i="17"/>
  <c r="B55" i="17"/>
  <c r="B54" i="17"/>
  <c r="B56" i="17" s="1"/>
  <c r="B53" i="17"/>
  <c r="B51" i="17"/>
  <c r="B49" i="17"/>
  <c r="B48" i="17"/>
  <c r="B50" i="17" s="1"/>
  <c r="B47" i="17"/>
  <c r="B45" i="17"/>
  <c r="B43" i="17"/>
  <c r="B42" i="17"/>
  <c r="B41" i="17"/>
  <c r="B39" i="17"/>
  <c r="B37" i="17"/>
  <c r="B36" i="17"/>
  <c r="B35" i="17"/>
  <c r="B33" i="17"/>
  <c r="B31" i="17"/>
  <c r="B30" i="17"/>
  <c r="B32" i="17" s="1"/>
  <c r="B29" i="17"/>
  <c r="B27" i="17"/>
  <c r="B25" i="17"/>
  <c r="B24" i="17"/>
  <c r="B26" i="17" s="1"/>
  <c r="B23" i="17"/>
  <c r="B21" i="17"/>
  <c r="B19" i="17"/>
  <c r="B18" i="17"/>
  <c r="B20" i="17" s="1"/>
  <c r="B17" i="17"/>
  <c r="B15" i="17"/>
  <c r="B13" i="17"/>
  <c r="B12" i="17"/>
  <c r="B14" i="17" s="1"/>
  <c r="B11" i="17"/>
  <c r="B10" i="17"/>
  <c r="B59" i="17" s="1"/>
  <c r="B7" i="17"/>
  <c r="B6" i="17"/>
  <c r="B8" i="17" s="1"/>
  <c r="B61" i="17" s="1"/>
  <c r="B5" i="17"/>
  <c r="B73" i="15"/>
  <c r="D51" i="15"/>
  <c r="D54" i="15" s="1"/>
  <c r="B54" i="15"/>
  <c r="G16" i="42"/>
  <c r="G15" i="42"/>
  <c r="G38" i="42"/>
  <c r="H38" i="42" s="1"/>
  <c r="L38" i="42" s="1"/>
  <c r="G36" i="42"/>
  <c r="G35" i="42"/>
  <c r="G34" i="42" s="1"/>
  <c r="G32" i="42"/>
  <c r="G31" i="42"/>
  <c r="G30" i="42" s="1"/>
  <c r="N31" i="42" s="1"/>
  <c r="G28" i="42"/>
  <c r="G27" i="42"/>
  <c r="G24" i="42"/>
  <c r="G23" i="42"/>
  <c r="N23" i="42" s="1"/>
  <c r="G22" i="42"/>
  <c r="G19" i="42"/>
  <c r="G18" i="42"/>
  <c r="G14" i="42"/>
  <c r="G12" i="42"/>
  <c r="G11" i="42"/>
  <c r="G10" i="42"/>
  <c r="G6" i="42"/>
  <c r="G7" i="42"/>
  <c r="G8" i="42"/>
  <c r="G5" i="42"/>
  <c r="C9" i="15"/>
  <c r="E10" i="15"/>
  <c r="E11" i="15"/>
  <c r="E12" i="15"/>
  <c r="E13" i="15"/>
  <c r="C15" i="15"/>
  <c r="E16" i="15"/>
  <c r="E17" i="15"/>
  <c r="E18" i="15"/>
  <c r="C20" i="15"/>
  <c r="E21" i="15"/>
  <c r="E22" i="15"/>
  <c r="E23" i="15"/>
  <c r="C25" i="15"/>
  <c r="E26" i="15"/>
  <c r="E27" i="15"/>
  <c r="E28" i="15"/>
  <c r="C30" i="15"/>
  <c r="E31" i="15"/>
  <c r="E32" i="15"/>
  <c r="E33" i="15"/>
  <c r="C35" i="15"/>
  <c r="E36" i="15"/>
  <c r="E37" i="15"/>
  <c r="E38" i="15"/>
  <c r="C40" i="15"/>
  <c r="E41" i="15"/>
  <c r="E42" i="15"/>
  <c r="E43" i="15"/>
  <c r="E46" i="15"/>
  <c r="E47" i="15"/>
  <c r="E48" i="15"/>
  <c r="E50" i="15"/>
  <c r="H5" i="15"/>
  <c r="V57" i="72"/>
  <c r="I25" i="16"/>
  <c r="I27" i="16" s="1"/>
  <c r="D62" i="15"/>
  <c r="D64" i="15"/>
  <c r="D66" i="15"/>
  <c r="D68" i="15"/>
  <c r="H50" i="15"/>
  <c r="H51" i="15" s="1"/>
  <c r="I40" i="15" s="1"/>
  <c r="K51" i="15"/>
  <c r="L51" i="15" s="1"/>
  <c r="E51" i="15"/>
  <c r="E54" i="15" s="1"/>
  <c r="K50" i="15"/>
  <c r="L50" i="15" s="1"/>
  <c r="K48" i="15"/>
  <c r="L48" i="15" s="1"/>
  <c r="K47" i="15"/>
  <c r="L47" i="15" s="1"/>
  <c r="K46" i="15"/>
  <c r="L46" i="15" s="1"/>
  <c r="K45" i="15"/>
  <c r="L45" i="15" s="1"/>
  <c r="K43" i="15"/>
  <c r="L43" i="15" s="1"/>
  <c r="K42" i="15"/>
  <c r="L42" i="15" s="1"/>
  <c r="K41" i="15"/>
  <c r="L41" i="15" s="1"/>
  <c r="K40" i="15"/>
  <c r="L40" i="15" s="1"/>
  <c r="K38" i="15"/>
  <c r="L38" i="15" s="1"/>
  <c r="K37" i="15"/>
  <c r="L37" i="15" s="1"/>
  <c r="K36" i="15"/>
  <c r="L36" i="15" s="1"/>
  <c r="K35" i="15"/>
  <c r="L35" i="15" s="1"/>
  <c r="K33" i="15"/>
  <c r="L33" i="15" s="1"/>
  <c r="K32" i="15"/>
  <c r="L32" i="15" s="1"/>
  <c r="K31" i="15"/>
  <c r="L31" i="15" s="1"/>
  <c r="K30" i="15"/>
  <c r="L30" i="15" s="1"/>
  <c r="K28" i="15"/>
  <c r="L28" i="15" s="1"/>
  <c r="K27" i="15"/>
  <c r="L27" i="15" s="1"/>
  <c r="K26" i="15"/>
  <c r="L26" i="15" s="1"/>
  <c r="K25" i="15"/>
  <c r="L25" i="15" s="1"/>
  <c r="K23" i="15"/>
  <c r="L23" i="15" s="1"/>
  <c r="K22" i="15"/>
  <c r="L22" i="15" s="1"/>
  <c r="K21" i="15"/>
  <c r="L21" i="15" s="1"/>
  <c r="K20" i="15"/>
  <c r="L20" i="15" s="1"/>
  <c r="I20" i="15"/>
  <c r="K18" i="15"/>
  <c r="L18" i="15" s="1"/>
  <c r="K17" i="15"/>
  <c r="L17" i="15" s="1"/>
  <c r="K16" i="15"/>
  <c r="L16" i="15" s="1"/>
  <c r="K15" i="15"/>
  <c r="L15" i="15" s="1"/>
  <c r="K13" i="15"/>
  <c r="L13" i="15" s="1"/>
  <c r="K12" i="15"/>
  <c r="L12" i="15" s="1"/>
  <c r="K11" i="15"/>
  <c r="L11" i="15" s="1"/>
  <c r="K10" i="15"/>
  <c r="L10" i="15" s="1"/>
  <c r="K9" i="15"/>
  <c r="L9" i="15" s="1"/>
  <c r="A2" i="15"/>
  <c r="A2" i="17"/>
  <c r="A2" i="16"/>
  <c r="A2" i="42"/>
  <c r="A2" i="21" s="1"/>
  <c r="F6" i="45"/>
  <c r="A2" i="28"/>
  <c r="A1" i="28"/>
  <c r="A2" i="73"/>
  <c r="A1" i="73"/>
  <c r="A2" i="72"/>
  <c r="A1" i="72"/>
  <c r="B42" i="42"/>
  <c r="L105" i="72"/>
  <c r="M105" i="72" s="1"/>
  <c r="AG106" i="72"/>
  <c r="V88" i="72"/>
  <c r="V17" i="72"/>
  <c r="V9" i="72"/>
  <c r="V18" i="72"/>
  <c r="V19" i="72"/>
  <c r="V10" i="72"/>
  <c r="V15" i="72"/>
  <c r="V8" i="72"/>
  <c r="V16" i="72"/>
  <c r="V20" i="72"/>
  <c r="V13" i="72"/>
  <c r="V11" i="72"/>
  <c r="V12" i="72"/>
  <c r="V14" i="72"/>
  <c r="V7" i="72"/>
  <c r="V6" i="72"/>
  <c r="V23" i="72"/>
  <c r="V25" i="72"/>
  <c r="V26" i="72"/>
  <c r="V27" i="72"/>
  <c r="V28" i="72"/>
  <c r="V48" i="72"/>
  <c r="V49" i="72"/>
  <c r="V47" i="72"/>
  <c r="V32" i="72"/>
  <c r="V33" i="72"/>
  <c r="V35" i="72"/>
  <c r="V34" i="72"/>
  <c r="V30" i="72"/>
  <c r="V31" i="72"/>
  <c r="V36" i="72"/>
  <c r="V37" i="72"/>
  <c r="V38" i="72"/>
  <c r="V42" i="72"/>
  <c r="V43" i="72"/>
  <c r="V44" i="72"/>
  <c r="V45" i="72"/>
  <c r="V46" i="72"/>
  <c r="V41" i="72"/>
  <c r="V40" i="72"/>
  <c r="V50" i="72"/>
  <c r="V52" i="72"/>
  <c r="V53" i="72"/>
  <c r="V54" i="72"/>
  <c r="V55" i="72"/>
  <c r="V56" i="72"/>
  <c r="V58" i="72"/>
  <c r="V60" i="72"/>
  <c r="V61" i="72"/>
  <c r="V62" i="72"/>
  <c r="V63" i="72"/>
  <c r="V64" i="72"/>
  <c r="V65" i="72"/>
  <c r="V66" i="72"/>
  <c r="V67" i="72"/>
  <c r="V68" i="72"/>
  <c r="V69" i="72"/>
  <c r="V70" i="72"/>
  <c r="V71" i="72"/>
  <c r="V72" i="72"/>
  <c r="V73" i="72"/>
  <c r="V74" i="72"/>
  <c r="V75" i="72"/>
  <c r="V76" i="72"/>
  <c r="V77" i="72"/>
  <c r="V79" i="72"/>
  <c r="V80" i="72"/>
  <c r="V81" i="72"/>
  <c r="V82" i="72"/>
  <c r="V83" i="72"/>
  <c r="V84" i="72"/>
  <c r="V85" i="72"/>
  <c r="V86" i="72"/>
  <c r="V87" i="72"/>
  <c r="V98" i="72"/>
  <c r="V99" i="72"/>
  <c r="N33" i="21"/>
  <c r="M33" i="21"/>
  <c r="N34" i="21"/>
  <c r="N36" i="21"/>
  <c r="G7" i="45"/>
  <c r="K95" i="72"/>
  <c r="F36" i="1"/>
  <c r="F37" i="1"/>
  <c r="F38" i="1"/>
  <c r="F39" i="1"/>
  <c r="F40" i="1"/>
  <c r="F41" i="1"/>
  <c r="F42" i="1"/>
  <c r="F43" i="1"/>
  <c r="E44" i="1"/>
  <c r="N6" i="42"/>
  <c r="N51" i="21"/>
  <c r="N52" i="21"/>
  <c r="N54" i="21"/>
  <c r="N45" i="21"/>
  <c r="N46" i="21"/>
  <c r="N48" i="21"/>
  <c r="N39" i="21"/>
  <c r="N40" i="21"/>
  <c r="N42" i="21"/>
  <c r="N27" i="21"/>
  <c r="N28" i="21"/>
  <c r="N29" i="21" s="1"/>
  <c r="N30" i="21"/>
  <c r="N21" i="21"/>
  <c r="N22" i="21"/>
  <c r="N24" i="21"/>
  <c r="N15" i="21"/>
  <c r="N16" i="21"/>
  <c r="N18" i="21"/>
  <c r="N8" i="21"/>
  <c r="N9" i="21"/>
  <c r="N10" i="21"/>
  <c r="N12" i="21"/>
  <c r="O12" i="21" s="1"/>
  <c r="M12" i="21"/>
  <c r="M50" i="21"/>
  <c r="M44" i="21"/>
  <c r="M38" i="21"/>
  <c r="M32" i="21"/>
  <c r="M26" i="21"/>
  <c r="M20" i="21"/>
  <c r="M14" i="21"/>
  <c r="M7" i="21"/>
  <c r="M34" i="21"/>
  <c r="B38" i="17"/>
  <c r="M9" i="21"/>
  <c r="M10" i="21"/>
  <c r="M11" i="21" s="1"/>
  <c r="M22" i="21"/>
  <c r="M21" i="21"/>
  <c r="M52" i="21"/>
  <c r="M51" i="21"/>
  <c r="M46" i="21"/>
  <c r="M45" i="21"/>
  <c r="M40" i="21"/>
  <c r="O40" i="21" s="1"/>
  <c r="M39" i="21"/>
  <c r="M28" i="21"/>
  <c r="M27" i="21"/>
  <c r="M15" i="21"/>
  <c r="O15" i="21" s="1"/>
  <c r="M16" i="21"/>
  <c r="B44" i="17"/>
  <c r="N15" i="42"/>
  <c r="M54" i="21"/>
  <c r="O54" i="21" s="1"/>
  <c r="M48" i="21"/>
  <c r="M42" i="21"/>
  <c r="O42" i="21" s="1"/>
  <c r="M36" i="21"/>
  <c r="O36" i="21" s="1"/>
  <c r="M30" i="21"/>
  <c r="O30" i="21" s="1"/>
  <c r="M24" i="21"/>
  <c r="M18" i="21"/>
  <c r="O18" i="21" s="1"/>
  <c r="M8" i="21"/>
  <c r="O28" i="21"/>
  <c r="K94" i="72"/>
  <c r="G6" i="45"/>
  <c r="C5" i="28"/>
  <c r="B8" i="28"/>
  <c r="G8" i="45"/>
  <c r="F44" i="1"/>
  <c r="I50" i="15"/>
  <c r="G50" i="15"/>
  <c r="D24" i="17"/>
  <c r="F25" i="17"/>
  <c r="G37" i="15"/>
  <c r="G46" i="15"/>
  <c r="D54" i="17" s="1"/>
  <c r="G10" i="15"/>
  <c r="C11" i="17" s="1"/>
  <c r="E11" i="17" s="1"/>
  <c r="G32" i="15"/>
  <c r="D37" i="17" s="1"/>
  <c r="G43" i="15"/>
  <c r="C51" i="17" s="1"/>
  <c r="G41" i="15"/>
  <c r="D48" i="17" s="1"/>
  <c r="D25" i="17"/>
  <c r="F42" i="17"/>
  <c r="G18" i="15"/>
  <c r="C21" i="17" s="1"/>
  <c r="D21" i="17" s="1"/>
  <c r="G17" i="15"/>
  <c r="D19" i="17" s="1"/>
  <c r="D20" i="17" s="1"/>
  <c r="G16" i="15"/>
  <c r="F18" i="17" s="1"/>
  <c r="G28" i="15"/>
  <c r="C33" i="17" s="1"/>
  <c r="G26" i="15"/>
  <c r="F30" i="17" s="1"/>
  <c r="G9" i="45"/>
  <c r="D27" i="17"/>
  <c r="I9" i="15"/>
  <c r="I25" i="15"/>
  <c r="C30" i="17"/>
  <c r="E30" i="17" s="1"/>
  <c r="H42" i="1"/>
  <c r="H40" i="1"/>
  <c r="H37" i="1"/>
  <c r="D30" i="17"/>
  <c r="D18" i="17"/>
  <c r="C48" i="17"/>
  <c r="E48" i="17" s="1"/>
  <c r="C37" i="17"/>
  <c r="F54" i="17"/>
  <c r="D43" i="17"/>
  <c r="F5" i="45"/>
  <c r="D13" i="17" l="1"/>
  <c r="C13" i="17"/>
  <c r="E13" i="17" s="1"/>
  <c r="D32" i="17"/>
  <c r="C54" i="17"/>
  <c r="F37" i="17"/>
  <c r="F38" i="17" s="1"/>
  <c r="I35" i="15"/>
  <c r="I15" i="15"/>
  <c r="E27" i="17"/>
  <c r="G31" i="15"/>
  <c r="G33" i="15"/>
  <c r="C39" i="17" s="1"/>
  <c r="G13" i="15"/>
  <c r="C15" i="17" s="1"/>
  <c r="F15" i="17" s="1"/>
  <c r="F10" i="17" s="1"/>
  <c r="D12" i="17"/>
  <c r="I51" i="15"/>
  <c r="D69" i="15"/>
  <c r="D67" i="15"/>
  <c r="D65" i="15"/>
  <c r="D63" i="15"/>
  <c r="D61" i="15"/>
  <c r="N50" i="21"/>
  <c r="O8" i="21"/>
  <c r="O39" i="21"/>
  <c r="O34" i="21"/>
  <c r="N23" i="21"/>
  <c r="O24" i="21"/>
  <c r="G15" i="15"/>
  <c r="C17" i="17" s="1"/>
  <c r="O48" i="21"/>
  <c r="M35" i="21"/>
  <c r="D14" i="17"/>
  <c r="N7" i="21"/>
  <c r="F13" i="17"/>
  <c r="N35" i="21"/>
  <c r="N32" i="21" s="1"/>
  <c r="O27" i="21"/>
  <c r="O45" i="21"/>
  <c r="O51" i="21"/>
  <c r="N11" i="21"/>
  <c r="O11" i="21" s="1"/>
  <c r="O9" i="21"/>
  <c r="O7" i="21"/>
  <c r="N20" i="21"/>
  <c r="O20" i="21" s="1"/>
  <c r="N53" i="21"/>
  <c r="E37" i="17"/>
  <c r="G30" i="15"/>
  <c r="C35" i="17" s="1"/>
  <c r="C6" i="17"/>
  <c r="F19" i="17"/>
  <c r="C19" i="17"/>
  <c r="E19" i="17" s="1"/>
  <c r="F11" i="17"/>
  <c r="D11" i="17"/>
  <c r="F48" i="17"/>
  <c r="F50" i="17" s="1"/>
  <c r="G25" i="15"/>
  <c r="C29" i="17" s="1"/>
  <c r="D26" i="17"/>
  <c r="M47" i="21"/>
  <c r="D42" i="17"/>
  <c r="D44" i="17" s="1"/>
  <c r="H43" i="1"/>
  <c r="H41" i="1"/>
  <c r="H36" i="1"/>
  <c r="H53" i="17"/>
  <c r="G29" i="17"/>
  <c r="K7" i="18"/>
  <c r="L7" i="18" s="1"/>
  <c r="D16" i="16"/>
  <c r="E16" i="16" s="1"/>
  <c r="K16" i="16" s="1"/>
  <c r="K16" i="18"/>
  <c r="J47" i="17"/>
  <c r="J53" i="17"/>
  <c r="C13" i="18"/>
  <c r="M5" i="18" s="1"/>
  <c r="H29" i="17"/>
  <c r="M9" i="18"/>
  <c r="G53" i="17"/>
  <c r="L6" i="18"/>
  <c r="H17" i="17"/>
  <c r="G17" i="17"/>
  <c r="L11" i="18"/>
  <c r="H41" i="17"/>
  <c r="I59" i="17"/>
  <c r="H10" i="17"/>
  <c r="K96" i="72"/>
  <c r="O35" i="21"/>
  <c r="O32" i="21"/>
  <c r="G40" i="15"/>
  <c r="C47" i="17" s="1"/>
  <c r="C45" i="17"/>
  <c r="C57" i="17"/>
  <c r="G45" i="15"/>
  <c r="C53" i="17" s="1"/>
  <c r="G35" i="15"/>
  <c r="C41" i="17" s="1"/>
  <c r="O33" i="21"/>
  <c r="D17" i="17"/>
  <c r="F26" i="17"/>
  <c r="F14" i="17"/>
  <c r="D15" i="17"/>
  <c r="E15" i="17"/>
  <c r="F20" i="17"/>
  <c r="F23" i="17"/>
  <c r="F43" i="17"/>
  <c r="F44" i="17" s="1"/>
  <c r="C43" i="17"/>
  <c r="F36" i="17"/>
  <c r="F5" i="17" s="1"/>
  <c r="C49" i="17"/>
  <c r="D49" i="17"/>
  <c r="D50" i="17" s="1"/>
  <c r="C18" i="17"/>
  <c r="C12" i="17"/>
  <c r="E45" i="17"/>
  <c r="E21" i="17"/>
  <c r="M53" i="21"/>
  <c r="O53" i="21" s="1"/>
  <c r="C51" i="15"/>
  <c r="F55" i="17"/>
  <c r="F56" i="17" s="1"/>
  <c r="D55" i="17"/>
  <c r="D56" i="17" s="1"/>
  <c r="N11" i="42"/>
  <c r="N19" i="42"/>
  <c r="K6" i="72"/>
  <c r="I91" i="72"/>
  <c r="G112" i="72"/>
  <c r="K7" i="72"/>
  <c r="D15" i="16"/>
  <c r="E15" i="16" s="1"/>
  <c r="K15" i="16" s="1"/>
  <c r="H5" i="45"/>
  <c r="H6" i="45"/>
  <c r="C5" i="45"/>
  <c r="D5" i="45" s="1"/>
  <c r="E19" i="16"/>
  <c r="K19" i="16" s="1"/>
  <c r="K23" i="17"/>
  <c r="K41" i="17"/>
  <c r="K29" i="17"/>
  <c r="K10" i="17"/>
  <c r="K17" i="17"/>
  <c r="L102" i="72"/>
  <c r="L106" i="72" s="1"/>
  <c r="K106" i="72"/>
  <c r="K47" i="17"/>
  <c r="K53" i="17"/>
  <c r="K35" i="17"/>
  <c r="D17" i="16"/>
  <c r="E17" i="16" s="1"/>
  <c r="K17" i="16" s="1"/>
  <c r="N35" i="42"/>
  <c r="M17" i="21"/>
  <c r="G26" i="42"/>
  <c r="N27" i="42" s="1"/>
  <c r="D23" i="17"/>
  <c r="O10" i="21"/>
  <c r="O21" i="21"/>
  <c r="O50" i="21"/>
  <c r="D33" i="17"/>
  <c r="F33" i="17"/>
  <c r="E33" i="17"/>
  <c r="F51" i="17"/>
  <c r="E51" i="17"/>
  <c r="D51" i="17"/>
  <c r="F39" i="17"/>
  <c r="E39" i="17"/>
  <c r="D39" i="17"/>
  <c r="B10" i="28"/>
  <c r="C8" i="28"/>
  <c r="D8" i="28" s="1"/>
  <c r="M56" i="21"/>
  <c r="N17" i="21"/>
  <c r="O17" i="21" s="1"/>
  <c r="N14" i="21"/>
  <c r="O14" i="21" s="1"/>
  <c r="O16" i="21"/>
  <c r="N38" i="21"/>
  <c r="O38" i="21" s="1"/>
  <c r="N41" i="21"/>
  <c r="N47" i="21"/>
  <c r="O47" i="21" s="1"/>
  <c r="N44" i="21"/>
  <c r="C6" i="45"/>
  <c r="D6" i="45" s="1"/>
  <c r="I45" i="15"/>
  <c r="H35" i="17"/>
  <c r="M8" i="18"/>
  <c r="C24" i="17"/>
  <c r="G20" i="15"/>
  <c r="D9" i="28"/>
  <c r="D14" i="16"/>
  <c r="C18" i="16"/>
  <c r="J41" i="17"/>
  <c r="K4" i="18"/>
  <c r="C31" i="17"/>
  <c r="F31" i="17"/>
  <c r="G47" i="17"/>
  <c r="F21" i="17"/>
  <c r="E13" i="18"/>
  <c r="M7" i="18" s="1"/>
  <c r="M13" i="18" s="1"/>
  <c r="M41" i="21"/>
  <c r="O41" i="21" s="1"/>
  <c r="M29" i="21"/>
  <c r="O29" i="21" s="1"/>
  <c r="O46" i="21"/>
  <c r="O52" i="21"/>
  <c r="O22" i="21"/>
  <c r="M23" i="21"/>
  <c r="O23" i="21" s="1"/>
  <c r="N26" i="21"/>
  <c r="O26" i="21" s="1"/>
  <c r="H112" i="72"/>
  <c r="F7" i="45"/>
  <c r="G23" i="17"/>
  <c r="L10" i="18"/>
  <c r="G35" i="17"/>
  <c r="H23" i="17"/>
  <c r="G10" i="17"/>
  <c r="F35" i="17" l="1"/>
  <c r="C36" i="17"/>
  <c r="D36" i="17"/>
  <c r="D38" i="17" s="1"/>
  <c r="F47" i="17"/>
  <c r="C5" i="17"/>
  <c r="C7" i="17"/>
  <c r="G9" i="15"/>
  <c r="C10" i="17" s="1"/>
  <c r="D70" i="15"/>
  <c r="C56" i="17"/>
  <c r="E54" i="17"/>
  <c r="E56" i="17" s="1"/>
  <c r="D10" i="17"/>
  <c r="D5" i="17"/>
  <c r="H44" i="1"/>
  <c r="J59" i="17"/>
  <c r="K15" i="18"/>
  <c r="K17" i="18" s="1"/>
  <c r="K13" i="18"/>
  <c r="H47" i="17"/>
  <c r="J5" i="17"/>
  <c r="J8" i="17" s="1"/>
  <c r="I6" i="17"/>
  <c r="I8" i="17" s="1"/>
  <c r="I61" i="17" s="1"/>
  <c r="D57" i="17"/>
  <c r="D53" i="17" s="1"/>
  <c r="F57" i="17"/>
  <c r="F53" i="17" s="1"/>
  <c r="E57" i="17"/>
  <c r="E53" i="17" s="1"/>
  <c r="F45" i="17"/>
  <c r="F41" i="17" s="1"/>
  <c r="D45" i="17"/>
  <c r="C14" i="17"/>
  <c r="E12" i="17"/>
  <c r="E14" i="17" s="1"/>
  <c r="E10" i="17" s="1"/>
  <c r="C50" i="17"/>
  <c r="E49" i="17"/>
  <c r="E50" i="17" s="1"/>
  <c r="C44" i="17"/>
  <c r="E43" i="17"/>
  <c r="E44" i="17" s="1"/>
  <c r="E41" i="17" s="1"/>
  <c r="D6" i="17"/>
  <c r="E18" i="17"/>
  <c r="E20" i="17" s="1"/>
  <c r="E17" i="17" s="1"/>
  <c r="C20" i="17"/>
  <c r="K91" i="72"/>
  <c r="K100" i="72" s="1"/>
  <c r="M106" i="72"/>
  <c r="K11" i="17"/>
  <c r="K13" i="17"/>
  <c r="K12" i="17"/>
  <c r="K45" i="17"/>
  <c r="D18" i="16"/>
  <c r="K54" i="17"/>
  <c r="K57" i="17"/>
  <c r="K59" i="17"/>
  <c r="K15" i="17"/>
  <c r="M102" i="72"/>
  <c r="K18" i="17"/>
  <c r="K21" i="17"/>
  <c r="K19" i="17"/>
  <c r="K20" i="17"/>
  <c r="E14" i="16"/>
  <c r="E18" i="16" s="1"/>
  <c r="P8" i="17" s="1"/>
  <c r="G39" i="42"/>
  <c r="G42" i="42" s="1"/>
  <c r="K25" i="17"/>
  <c r="K24" i="17"/>
  <c r="K27" i="17"/>
  <c r="C7" i="45"/>
  <c r="D7" i="45" s="1"/>
  <c r="H7" i="45"/>
  <c r="F32" i="17"/>
  <c r="F29" i="17" s="1"/>
  <c r="F6" i="17"/>
  <c r="L4" i="18"/>
  <c r="G41" i="17"/>
  <c r="C23" i="17"/>
  <c r="C59" i="17" s="1"/>
  <c r="G51" i="15"/>
  <c r="N56" i="21"/>
  <c r="O56" i="21" s="1"/>
  <c r="D35" i="17"/>
  <c r="L13" i="18"/>
  <c r="G59" i="17"/>
  <c r="G6" i="17" s="1"/>
  <c r="G8" i="17" s="1"/>
  <c r="G61" i="17" s="1"/>
  <c r="E31" i="17"/>
  <c r="C32" i="17"/>
  <c r="E24" i="17"/>
  <c r="C26" i="17"/>
  <c r="H59" i="17"/>
  <c r="H5" i="17" s="1"/>
  <c r="H8" i="17" s="1"/>
  <c r="H61" i="17" s="1"/>
  <c r="O44" i="21"/>
  <c r="C10" i="16"/>
  <c r="F8" i="45"/>
  <c r="C10" i="28"/>
  <c r="D10" i="28" s="1"/>
  <c r="F17" i="17"/>
  <c r="K49" i="17"/>
  <c r="K51" i="17"/>
  <c r="K48" i="17"/>
  <c r="E7" i="17"/>
  <c r="D29" i="17"/>
  <c r="D7" i="17"/>
  <c r="D8" i="17" s="1"/>
  <c r="K33" i="17"/>
  <c r="D47" i="17"/>
  <c r="E47" i="17"/>
  <c r="E36" i="17" l="1"/>
  <c r="E38" i="17" s="1"/>
  <c r="E35" i="17" s="1"/>
  <c r="C38" i="17"/>
  <c r="K55" i="17"/>
  <c r="C8" i="17"/>
  <c r="C61" i="17" s="1"/>
  <c r="L29" i="72"/>
  <c r="M29" i="72" s="1"/>
  <c r="Y29" i="72" s="1"/>
  <c r="L39" i="72"/>
  <c r="M39" i="72" s="1"/>
  <c r="J61" i="17"/>
  <c r="AD29" i="72"/>
  <c r="L21" i="72"/>
  <c r="M21" i="72" s="1"/>
  <c r="L22" i="72"/>
  <c r="M22" i="72" s="1"/>
  <c r="K14" i="16"/>
  <c r="K18" i="16" s="1"/>
  <c r="L16" i="72"/>
  <c r="M16" i="72" s="1"/>
  <c r="AC16" i="72" s="1"/>
  <c r="F59" i="17"/>
  <c r="F7" i="17"/>
  <c r="F8" i="17" s="1"/>
  <c r="D41" i="17"/>
  <c r="D59" i="17" s="1"/>
  <c r="D61" i="17" s="1"/>
  <c r="K43" i="17"/>
  <c r="K42" i="17"/>
  <c r="L17" i="72"/>
  <c r="M17" i="72" s="1"/>
  <c r="AB17" i="72" s="1"/>
  <c r="L60" i="72"/>
  <c r="M60" i="72" s="1"/>
  <c r="AD60" i="72" s="1"/>
  <c r="L30" i="72"/>
  <c r="M30" i="72" s="1"/>
  <c r="X30" i="72" s="1"/>
  <c r="L73" i="72"/>
  <c r="M73" i="72" s="1"/>
  <c r="Y73" i="72" s="1"/>
  <c r="L65" i="72"/>
  <c r="M65" i="72" s="1"/>
  <c r="AC65" i="72" s="1"/>
  <c r="L28" i="72"/>
  <c r="M28" i="72" s="1"/>
  <c r="AA28" i="72" s="1"/>
  <c r="L46" i="72"/>
  <c r="M46" i="72" s="1"/>
  <c r="AE46" i="72" s="1"/>
  <c r="L38" i="72"/>
  <c r="M38" i="72" s="1"/>
  <c r="Y38" i="72" s="1"/>
  <c r="L47" i="72"/>
  <c r="M47" i="72" s="1"/>
  <c r="AA47" i="72" s="1"/>
  <c r="L66" i="72"/>
  <c r="M66" i="72" s="1"/>
  <c r="Y66" i="72" s="1"/>
  <c r="L20" i="72"/>
  <c r="M20" i="72" s="1"/>
  <c r="AC20" i="72" s="1"/>
  <c r="L81" i="72"/>
  <c r="M81" i="72" s="1"/>
  <c r="AB81" i="72" s="1"/>
  <c r="L62" i="72"/>
  <c r="M62" i="72" s="1"/>
  <c r="AB62" i="72" s="1"/>
  <c r="L64" i="72"/>
  <c r="M64" i="72" s="1"/>
  <c r="AD64" i="72" s="1"/>
  <c r="L34" i="72"/>
  <c r="M34" i="72" s="1"/>
  <c r="Y34" i="72" s="1"/>
  <c r="L36" i="72"/>
  <c r="M36" i="72" s="1"/>
  <c r="AC36" i="72" s="1"/>
  <c r="L55" i="72"/>
  <c r="M55" i="72" s="1"/>
  <c r="AE55" i="72" s="1"/>
  <c r="L42" i="72"/>
  <c r="M42" i="72" s="1"/>
  <c r="L14" i="72"/>
  <c r="M14" i="72" s="1"/>
  <c r="AE14" i="72" s="1"/>
  <c r="L13" i="72"/>
  <c r="M13" i="72" s="1"/>
  <c r="L27" i="72"/>
  <c r="M27" i="72" s="1"/>
  <c r="AC27" i="72" s="1"/>
  <c r="L75" i="72"/>
  <c r="M75" i="72" s="1"/>
  <c r="AC75" i="72" s="1"/>
  <c r="L70" i="72"/>
  <c r="M70" i="72" s="1"/>
  <c r="Z70" i="72" s="1"/>
  <c r="L54" i="72"/>
  <c r="M54" i="72" s="1"/>
  <c r="Y54" i="72" s="1"/>
  <c r="L19" i="72"/>
  <c r="M19" i="72" s="1"/>
  <c r="AD19" i="72" s="1"/>
  <c r="L58" i="72"/>
  <c r="M58" i="72" s="1"/>
  <c r="AB58" i="72" s="1"/>
  <c r="L83" i="72"/>
  <c r="M83" i="72" s="1"/>
  <c r="AD83" i="72" s="1"/>
  <c r="L26" i="72"/>
  <c r="M26" i="72" s="1"/>
  <c r="AA26" i="72" s="1"/>
  <c r="L84" i="72"/>
  <c r="M84" i="72" s="1"/>
  <c r="AB84" i="72" s="1"/>
  <c r="L80" i="72"/>
  <c r="M80" i="72" s="1"/>
  <c r="AA80" i="72" s="1"/>
  <c r="L77" i="72"/>
  <c r="M77" i="72" s="1"/>
  <c r="AB77" i="72" s="1"/>
  <c r="L12" i="72"/>
  <c r="M12" i="72" s="1"/>
  <c r="AC12" i="72" s="1"/>
  <c r="L72" i="72"/>
  <c r="M72" i="72" s="1"/>
  <c r="Y72" i="72" s="1"/>
  <c r="L15" i="72"/>
  <c r="M15" i="72" s="1"/>
  <c r="AD15" i="72" s="1"/>
  <c r="L24" i="72"/>
  <c r="M24" i="72" s="1"/>
  <c r="AD24" i="72" s="1"/>
  <c r="L9" i="72"/>
  <c r="M9" i="72" s="1"/>
  <c r="AB9" i="72" s="1"/>
  <c r="L57" i="72"/>
  <c r="M57" i="72" s="1"/>
  <c r="AE57" i="72" s="1"/>
  <c r="L45" i="72"/>
  <c r="M45" i="72" s="1"/>
  <c r="AE45" i="72" s="1"/>
  <c r="L37" i="72"/>
  <c r="M37" i="72" s="1"/>
  <c r="L49" i="72"/>
  <c r="M49" i="72" s="1"/>
  <c r="L99" i="72"/>
  <c r="M99" i="72" s="1"/>
  <c r="AB99" i="72" s="1"/>
  <c r="L33" i="72"/>
  <c r="M33" i="72" s="1"/>
  <c r="L23" i="72"/>
  <c r="M23" i="72" s="1"/>
  <c r="L52" i="72"/>
  <c r="M52" i="72" s="1"/>
  <c r="L71" i="72"/>
  <c r="M71" i="72" s="1"/>
  <c r="AE71" i="72" s="1"/>
  <c r="L87" i="72"/>
  <c r="M87" i="72" s="1"/>
  <c r="AB87" i="72" s="1"/>
  <c r="L41" i="72"/>
  <c r="M41" i="72" s="1"/>
  <c r="AE41" i="72" s="1"/>
  <c r="L98" i="72"/>
  <c r="M98" i="72" s="1"/>
  <c r="AA98" i="72" s="1"/>
  <c r="L79" i="72"/>
  <c r="M79" i="72" s="1"/>
  <c r="AD79" i="72" s="1"/>
  <c r="L8" i="72"/>
  <c r="M8" i="72" s="1"/>
  <c r="AA8" i="72" s="1"/>
  <c r="L88" i="72"/>
  <c r="M88" i="72" s="1"/>
  <c r="AC88" i="72" s="1"/>
  <c r="L82" i="72"/>
  <c r="M82" i="72" s="1"/>
  <c r="AE82" i="72" s="1"/>
  <c r="L31" i="72"/>
  <c r="M31" i="72" s="1"/>
  <c r="AA31" i="72" s="1"/>
  <c r="L74" i="72"/>
  <c r="M74" i="72" s="1"/>
  <c r="AC74" i="72" s="1"/>
  <c r="L51" i="72"/>
  <c r="M51" i="72" s="1"/>
  <c r="Z51" i="72" s="1"/>
  <c r="L11" i="72"/>
  <c r="M11" i="72" s="1"/>
  <c r="AC11" i="72" s="1"/>
  <c r="L43" i="72"/>
  <c r="M43" i="72" s="1"/>
  <c r="Y43" i="72" s="1"/>
  <c r="L67" i="72"/>
  <c r="M67" i="72" s="1"/>
  <c r="AD67" i="72" s="1"/>
  <c r="L78" i="72"/>
  <c r="M78" i="72" s="1"/>
  <c r="AE78" i="72" s="1"/>
  <c r="L63" i="72"/>
  <c r="M63" i="72" s="1"/>
  <c r="Z63" i="72" s="1"/>
  <c r="L86" i="72"/>
  <c r="M86" i="72" s="1"/>
  <c r="AC86" i="72" s="1"/>
  <c r="L69" i="72"/>
  <c r="M69" i="72" s="1"/>
  <c r="Y69" i="72" s="1"/>
  <c r="L44" i="72"/>
  <c r="M44" i="72" s="1"/>
  <c r="AC44" i="72" s="1"/>
  <c r="L85" i="72"/>
  <c r="M85" i="72" s="1"/>
  <c r="X85" i="72" s="1"/>
  <c r="L76" i="72"/>
  <c r="M76" i="72" s="1"/>
  <c r="AB76" i="72" s="1"/>
  <c r="L68" i="72"/>
  <c r="M68" i="72" s="1"/>
  <c r="X68" i="72" s="1"/>
  <c r="L56" i="72"/>
  <c r="M56" i="72" s="1"/>
  <c r="AB56" i="72" s="1"/>
  <c r="L35" i="72"/>
  <c r="M35" i="72" s="1"/>
  <c r="X35" i="72" s="1"/>
  <c r="L7" i="72"/>
  <c r="M7" i="72" s="1"/>
  <c r="Y7" i="72" s="1"/>
  <c r="L25" i="72"/>
  <c r="M25" i="72" s="1"/>
  <c r="X25" i="72" s="1"/>
  <c r="L40" i="72"/>
  <c r="M40" i="72" s="1"/>
  <c r="Y40" i="72" s="1"/>
  <c r="L50" i="72"/>
  <c r="M50" i="72" s="1"/>
  <c r="X50" i="72" s="1"/>
  <c r="K107" i="72"/>
  <c r="L61" i="72"/>
  <c r="M61" i="72" s="1"/>
  <c r="Y61" i="72" s="1"/>
  <c r="L53" i="72"/>
  <c r="M53" i="72" s="1"/>
  <c r="L48" i="72"/>
  <c r="M48" i="72" s="1"/>
  <c r="AE48" i="72" s="1"/>
  <c r="L6" i="72"/>
  <c r="L32" i="72"/>
  <c r="M32" i="72" s="1"/>
  <c r="AC32" i="72" s="1"/>
  <c r="L59" i="72"/>
  <c r="M59" i="72" s="1"/>
  <c r="AD59" i="72" s="1"/>
  <c r="L18" i="72"/>
  <c r="M18" i="72" s="1"/>
  <c r="L10" i="72"/>
  <c r="M10" i="72" s="1"/>
  <c r="AD10" i="72" s="1"/>
  <c r="K56" i="17"/>
  <c r="K14" i="17"/>
  <c r="K26" i="17"/>
  <c r="K31" i="17"/>
  <c r="K30" i="17"/>
  <c r="K50" i="17"/>
  <c r="C8" i="45"/>
  <c r="D8" i="45" s="1"/>
  <c r="H8" i="45"/>
  <c r="D10" i="16"/>
  <c r="E5" i="17"/>
  <c r="E26" i="17"/>
  <c r="E23" i="17" s="1"/>
  <c r="E32" i="17"/>
  <c r="E29" i="17" s="1"/>
  <c r="E6" i="17"/>
  <c r="K37" i="17"/>
  <c r="K36" i="17"/>
  <c r="K39" i="17"/>
  <c r="E59" i="17" l="1"/>
  <c r="F61" i="17"/>
  <c r="AB29" i="72"/>
  <c r="Y39" i="72"/>
  <c r="AA39" i="72"/>
  <c r="Z39" i="72"/>
  <c r="X39" i="72"/>
  <c r="AD39" i="72"/>
  <c r="AE39" i="72"/>
  <c r="AC39" i="72"/>
  <c r="AB39" i="72"/>
  <c r="AE29" i="72"/>
  <c r="AC29" i="72"/>
  <c r="Z29" i="72"/>
  <c r="AA29" i="72"/>
  <c r="X29" i="72"/>
  <c r="X73" i="72"/>
  <c r="AD27" i="72"/>
  <c r="AB10" i="72"/>
  <c r="AE74" i="72"/>
  <c r="AA15" i="72"/>
  <c r="AE30" i="72"/>
  <c r="AD68" i="72"/>
  <c r="AE17" i="72"/>
  <c r="AE62" i="72"/>
  <c r="AB20" i="72"/>
  <c r="Z47" i="72"/>
  <c r="AD25" i="72"/>
  <c r="AB69" i="72"/>
  <c r="AD87" i="72"/>
  <c r="AD98" i="72"/>
  <c r="AA50" i="72"/>
  <c r="AE35" i="72"/>
  <c r="AD85" i="72"/>
  <c r="AB67" i="72"/>
  <c r="Z41" i="72"/>
  <c r="AB46" i="72"/>
  <c r="AC34" i="72"/>
  <c r="AD72" i="72"/>
  <c r="AA77" i="72"/>
  <c r="AC30" i="72"/>
  <c r="AB83" i="72"/>
  <c r="AA70" i="72"/>
  <c r="AA73" i="72"/>
  <c r="AA14" i="72"/>
  <c r="Y56" i="72"/>
  <c r="AB36" i="72"/>
  <c r="Y22" i="72"/>
  <c r="AA22" i="72"/>
  <c r="AC22" i="72"/>
  <c r="AE22" i="72"/>
  <c r="X22" i="72"/>
  <c r="Z22" i="72"/>
  <c r="AB22" i="72"/>
  <c r="AD22" i="72"/>
  <c r="Y21" i="72"/>
  <c r="AA21" i="72"/>
  <c r="AC21" i="72"/>
  <c r="AE21" i="72"/>
  <c r="X21" i="72"/>
  <c r="Z21" i="72"/>
  <c r="AB21" i="72"/>
  <c r="AD21" i="72"/>
  <c r="AD40" i="72"/>
  <c r="AD44" i="72"/>
  <c r="AB28" i="72"/>
  <c r="AD50" i="72"/>
  <c r="AA25" i="72"/>
  <c r="AC35" i="72"/>
  <c r="AC68" i="72"/>
  <c r="AE85" i="72"/>
  <c r="AA69" i="72"/>
  <c r="AB63" i="72"/>
  <c r="AE11" i="72"/>
  <c r="AD82" i="72"/>
  <c r="AA17" i="72"/>
  <c r="AE34" i="72"/>
  <c r="AC62" i="72"/>
  <c r="Z20" i="72"/>
  <c r="AC84" i="72"/>
  <c r="AA30" i="72"/>
  <c r="Y30" i="72"/>
  <c r="AB47" i="72"/>
  <c r="AB19" i="72"/>
  <c r="AD73" i="72"/>
  <c r="AB73" i="72"/>
  <c r="Z17" i="72"/>
  <c r="AC17" i="72"/>
  <c r="Y17" i="72"/>
  <c r="AD7" i="72"/>
  <c r="AC76" i="72"/>
  <c r="AA43" i="72"/>
  <c r="AE51" i="72"/>
  <c r="AD31" i="72"/>
  <c r="AD88" i="72"/>
  <c r="AC8" i="72"/>
  <c r="AA40" i="72"/>
  <c r="AE7" i="72"/>
  <c r="AD56" i="72"/>
  <c r="AD76" i="72"/>
  <c r="AA44" i="72"/>
  <c r="AB86" i="72"/>
  <c r="X28" i="72"/>
  <c r="Z40" i="72"/>
  <c r="X40" i="72"/>
  <c r="Z7" i="72"/>
  <c r="X7" i="72"/>
  <c r="X56" i="72"/>
  <c r="Z56" i="72"/>
  <c r="Z76" i="72"/>
  <c r="X76" i="72"/>
  <c r="X44" i="72"/>
  <c r="Y44" i="72"/>
  <c r="Z86" i="72"/>
  <c r="X86" i="72"/>
  <c r="Y86" i="72"/>
  <c r="AA86" i="72"/>
  <c r="X43" i="72"/>
  <c r="AD43" i="72"/>
  <c r="Z43" i="72"/>
  <c r="AB43" i="72"/>
  <c r="AA51" i="72"/>
  <c r="AD51" i="72"/>
  <c r="AC51" i="72"/>
  <c r="AB51" i="72"/>
  <c r="X31" i="72"/>
  <c r="AE31" i="72"/>
  <c r="Y31" i="72"/>
  <c r="AC31" i="72"/>
  <c r="AA88" i="72"/>
  <c r="Z88" i="72"/>
  <c r="AE88" i="72"/>
  <c r="AB88" i="72"/>
  <c r="X8" i="72"/>
  <c r="AE8" i="72"/>
  <c r="Y8" i="72"/>
  <c r="Z8" i="72"/>
  <c r="X98" i="72"/>
  <c r="AE98" i="72"/>
  <c r="Y98" i="72"/>
  <c r="AC98" i="72"/>
  <c r="Y87" i="72"/>
  <c r="AA87" i="72"/>
  <c r="AE87" i="72"/>
  <c r="AC87" i="72"/>
  <c r="AE52" i="72"/>
  <c r="AB52" i="72"/>
  <c r="AC33" i="72"/>
  <c r="X33" i="72"/>
  <c r="AC45" i="72"/>
  <c r="Z45" i="72"/>
  <c r="AE9" i="72"/>
  <c r="AA9" i="72"/>
  <c r="AB12" i="72"/>
  <c r="Z12" i="72"/>
  <c r="X80" i="72"/>
  <c r="Y80" i="72"/>
  <c r="AD26" i="72"/>
  <c r="AB26" i="72"/>
  <c r="X58" i="72"/>
  <c r="Z58" i="72"/>
  <c r="AE54" i="72"/>
  <c r="AC54" i="72"/>
  <c r="Y75" i="72"/>
  <c r="X75" i="72"/>
  <c r="Y13" i="72"/>
  <c r="AA13" i="72"/>
  <c r="AC13" i="72"/>
  <c r="AC42" i="72"/>
  <c r="X42" i="72"/>
  <c r="AE42" i="72"/>
  <c r="AB42" i="72"/>
  <c r="X64" i="72"/>
  <c r="Z64" i="72"/>
  <c r="AC81" i="72"/>
  <c r="AA81" i="72"/>
  <c r="AE66" i="72"/>
  <c r="AC66" i="72"/>
  <c r="AE38" i="72"/>
  <c r="AC38" i="72"/>
  <c r="Y65" i="72"/>
  <c r="Z65" i="72"/>
  <c r="AA60" i="72"/>
  <c r="AE60" i="72"/>
  <c r="X16" i="72"/>
  <c r="Y16" i="72"/>
  <c r="AC40" i="72"/>
  <c r="AB40" i="72"/>
  <c r="AE40" i="72"/>
  <c r="AC7" i="72"/>
  <c r="AB7" i="72"/>
  <c r="AA7" i="72"/>
  <c r="AE56" i="72"/>
  <c r="AC56" i="72"/>
  <c r="AA56" i="72"/>
  <c r="AE76" i="72"/>
  <c r="Y76" i="72"/>
  <c r="AA76" i="72"/>
  <c r="Z44" i="72"/>
  <c r="AE44" i="72"/>
  <c r="AB44" i="72"/>
  <c r="AD86" i="72"/>
  <c r="AE86" i="72"/>
  <c r="AC43" i="72"/>
  <c r="AE43" i="72"/>
  <c r="Y51" i="72"/>
  <c r="X51" i="72"/>
  <c r="AB31" i="72"/>
  <c r="Z31" i="72"/>
  <c r="X88" i="72"/>
  <c r="Y88" i="72"/>
  <c r="AB8" i="72"/>
  <c r="AD8" i="72"/>
  <c r="AB98" i="72"/>
  <c r="Z98" i="72"/>
  <c r="Z87" i="72"/>
  <c r="X87" i="72"/>
  <c r="AD13" i="72"/>
  <c r="AD42" i="72"/>
  <c r="AD28" i="72"/>
  <c r="AE16" i="72"/>
  <c r="Y64" i="72"/>
  <c r="Y81" i="72"/>
  <c r="AE12" i="72"/>
  <c r="AE80" i="72"/>
  <c r="AC26" i="72"/>
  <c r="AB66" i="72"/>
  <c r="AE65" i="72"/>
  <c r="AD58" i="72"/>
  <c r="AC60" i="72"/>
  <c r="AA54" i="72"/>
  <c r="AA38" i="72"/>
  <c r="AE75" i="72"/>
  <c r="Z13" i="72"/>
  <c r="Y36" i="72"/>
  <c r="Y42" i="72"/>
  <c r="AA36" i="72"/>
  <c r="AC52" i="72"/>
  <c r="AD33" i="72"/>
  <c r="AE99" i="72"/>
  <c r="AC99" i="72"/>
  <c r="X45" i="72"/>
  <c r="AA45" i="72"/>
  <c r="AB45" i="72"/>
  <c r="AD45" i="72"/>
  <c r="Y45" i="72"/>
  <c r="Z9" i="72"/>
  <c r="AC9" i="72"/>
  <c r="X9" i="72"/>
  <c r="AD9" i="72"/>
  <c r="Y9" i="72"/>
  <c r="Y12" i="72"/>
  <c r="AD12" i="72"/>
  <c r="X12" i="72"/>
  <c r="AA12" i="72"/>
  <c r="AC80" i="72"/>
  <c r="AB80" i="72"/>
  <c r="AD80" i="72"/>
  <c r="Z80" i="72"/>
  <c r="X26" i="72"/>
  <c r="AE26" i="72"/>
  <c r="Y26" i="72"/>
  <c r="Z26" i="72"/>
  <c r="Y58" i="72"/>
  <c r="AE58" i="72"/>
  <c r="AA58" i="72"/>
  <c r="AC58" i="72"/>
  <c r="X54" i="72"/>
  <c r="AD54" i="72"/>
  <c r="Z54" i="72"/>
  <c r="AB54" i="72"/>
  <c r="AA75" i="72"/>
  <c r="AD75" i="72"/>
  <c r="Z75" i="72"/>
  <c r="AB75" i="72"/>
  <c r="X13" i="72"/>
  <c r="AB13" i="72"/>
  <c r="AE13" i="72"/>
  <c r="Z42" i="72"/>
  <c r="AA42" i="72"/>
  <c r="X36" i="72"/>
  <c r="AE36" i="72"/>
  <c r="AD36" i="72"/>
  <c r="Z36" i="72"/>
  <c r="AB64" i="72"/>
  <c r="AA64" i="72"/>
  <c r="AC64" i="72"/>
  <c r="AE64" i="72"/>
  <c r="X81" i="72"/>
  <c r="AE81" i="72"/>
  <c r="Z81" i="72"/>
  <c r="AD81" i="72"/>
  <c r="X66" i="72"/>
  <c r="AD66" i="72"/>
  <c r="Z66" i="72"/>
  <c r="AA66" i="72"/>
  <c r="X38" i="72"/>
  <c r="AD38" i="72"/>
  <c r="Z38" i="72"/>
  <c r="AB38" i="72"/>
  <c r="Z28" i="72"/>
  <c r="AE28" i="72"/>
  <c r="AC28" i="72"/>
  <c r="Y28" i="72"/>
  <c r="AA65" i="72"/>
  <c r="AB65" i="72"/>
  <c r="X65" i="72"/>
  <c r="AD65" i="72"/>
  <c r="Z60" i="72"/>
  <c r="X60" i="72"/>
  <c r="AB60" i="72"/>
  <c r="Y60" i="72"/>
  <c r="AA16" i="72"/>
  <c r="AD16" i="72"/>
  <c r="Z16" i="72"/>
  <c r="AB16" i="72"/>
  <c r="K44" i="17"/>
  <c r="Z50" i="72"/>
  <c r="Z25" i="72"/>
  <c r="Y35" i="72"/>
  <c r="Z68" i="72"/>
  <c r="Z85" i="72"/>
  <c r="AB79" i="72"/>
  <c r="AC71" i="72"/>
  <c r="Z46" i="72"/>
  <c r="X14" i="72"/>
  <c r="AD17" i="72"/>
  <c r="Z55" i="72"/>
  <c r="AB34" i="72"/>
  <c r="AD62" i="72"/>
  <c r="AE20" i="72"/>
  <c r="AB30" i="72"/>
  <c r="Z30" i="72"/>
  <c r="AD30" i="72"/>
  <c r="AD47" i="72"/>
  <c r="AC73" i="72"/>
  <c r="Z73" i="72"/>
  <c r="AE73" i="72"/>
  <c r="X17" i="72"/>
  <c r="AB24" i="72"/>
  <c r="AB14" i="72"/>
  <c r="AC24" i="72"/>
  <c r="Y24" i="72"/>
  <c r="AA59" i="72"/>
  <c r="AC61" i="72"/>
  <c r="AE59" i="72"/>
  <c r="AA61" i="72"/>
  <c r="Z32" i="72"/>
  <c r="Y32" i="72"/>
  <c r="AC48" i="72"/>
  <c r="AE18" i="72"/>
  <c r="X18" i="72"/>
  <c r="L91" i="72"/>
  <c r="L100" i="72" s="1"/>
  <c r="L107" i="72" s="1"/>
  <c r="M6" i="72"/>
  <c r="Y50" i="72"/>
  <c r="AE50" i="72"/>
  <c r="AB50" i="72"/>
  <c r="AC50" i="72"/>
  <c r="Y25" i="72"/>
  <c r="AE25" i="72"/>
  <c r="AB25" i="72"/>
  <c r="AC25" i="72"/>
  <c r="AA35" i="72"/>
  <c r="AD35" i="72"/>
  <c r="Z35" i="72"/>
  <c r="AB35" i="72"/>
  <c r="AB68" i="72"/>
  <c r="AA68" i="72"/>
  <c r="Y68" i="72"/>
  <c r="AE68" i="72"/>
  <c r="AB85" i="72"/>
  <c r="Y85" i="72"/>
  <c r="AC85" i="72"/>
  <c r="AA85" i="72"/>
  <c r="Z69" i="72"/>
  <c r="AC69" i="72"/>
  <c r="AD69" i="72"/>
  <c r="AE69" i="72"/>
  <c r="X69" i="72"/>
  <c r="AC63" i="72"/>
  <c r="AE63" i="72"/>
  <c r="AC67" i="72"/>
  <c r="AE67" i="72"/>
  <c r="Y11" i="72"/>
  <c r="AA11" i="72"/>
  <c r="Y74" i="72"/>
  <c r="AA74" i="72"/>
  <c r="AA82" i="72"/>
  <c r="AB82" i="72"/>
  <c r="X15" i="72"/>
  <c r="Z15" i="72"/>
  <c r="X72" i="72"/>
  <c r="Z72" i="72"/>
  <c r="Z77" i="72"/>
  <c r="Y77" i="72"/>
  <c r="Y84" i="72"/>
  <c r="AE84" i="72"/>
  <c r="X83" i="72"/>
  <c r="Z83" i="72"/>
  <c r="X19" i="72"/>
  <c r="Z19" i="72"/>
  <c r="X70" i="72"/>
  <c r="AE70" i="72"/>
  <c r="Y27" i="72"/>
  <c r="AB27" i="72"/>
  <c r="X55" i="72"/>
  <c r="AB55" i="72"/>
  <c r="X34" i="72"/>
  <c r="AD34" i="72"/>
  <c r="Z34" i="72"/>
  <c r="AA34" i="72"/>
  <c r="Z62" i="72"/>
  <c r="AA62" i="72"/>
  <c r="X62" i="72"/>
  <c r="Y62" i="72"/>
  <c r="Y20" i="72"/>
  <c r="AD20" i="72"/>
  <c r="X20" i="72"/>
  <c r="AA20" i="72"/>
  <c r="X47" i="72"/>
  <c r="AE47" i="72"/>
  <c r="Y47" i="72"/>
  <c r="AC47" i="72"/>
  <c r="Y46" i="72"/>
  <c r="X46" i="72"/>
  <c r="AA46" i="72"/>
  <c r="AC46" i="72"/>
  <c r="AD46" i="72"/>
  <c r="Y48" i="72"/>
  <c r="AC10" i="72"/>
  <c r="AA18" i="72"/>
  <c r="AC18" i="72"/>
  <c r="AB18" i="72"/>
  <c r="AA53" i="72"/>
  <c r="Y53" i="72"/>
  <c r="X63" i="72"/>
  <c r="AD63" i="72"/>
  <c r="Y63" i="72"/>
  <c r="AA63" i="72"/>
  <c r="X67" i="72"/>
  <c r="Z67" i="72"/>
  <c r="Y67" i="72"/>
  <c r="AA67" i="72"/>
  <c r="X11" i="72"/>
  <c r="AD11" i="72"/>
  <c r="Z11" i="72"/>
  <c r="AB11" i="72"/>
  <c r="X74" i="72"/>
  <c r="AD74" i="72"/>
  <c r="Z74" i="72"/>
  <c r="AB74" i="72"/>
  <c r="Y82" i="72"/>
  <c r="X82" i="72"/>
  <c r="Z82" i="72"/>
  <c r="AC82" i="72"/>
  <c r="Y79" i="72"/>
  <c r="X79" i="72"/>
  <c r="Z79" i="72"/>
  <c r="AA41" i="72"/>
  <c r="X41" i="72"/>
  <c r="Y41" i="72"/>
  <c r="AA71" i="72"/>
  <c r="Y71" i="72"/>
  <c r="X71" i="72"/>
  <c r="Y23" i="72"/>
  <c r="AD23" i="72"/>
  <c r="AD49" i="72"/>
  <c r="Y49" i="72"/>
  <c r="X37" i="72"/>
  <c r="AD37" i="72"/>
  <c r="Z37" i="72"/>
  <c r="AB37" i="72"/>
  <c r="AC37" i="72"/>
  <c r="Y57" i="72"/>
  <c r="AA57" i="72"/>
  <c r="Z24" i="72"/>
  <c r="X24" i="72"/>
  <c r="AE24" i="72"/>
  <c r="AA24" i="72"/>
  <c r="Y15" i="72"/>
  <c r="AE15" i="72"/>
  <c r="AB15" i="72"/>
  <c r="AC15" i="72"/>
  <c r="AB72" i="72"/>
  <c r="AA72" i="72"/>
  <c r="AC72" i="72"/>
  <c r="AE72" i="72"/>
  <c r="AC77" i="72"/>
  <c r="AD77" i="72"/>
  <c r="AE77" i="72"/>
  <c r="X77" i="72"/>
  <c r="AD84" i="72"/>
  <c r="AA84" i="72"/>
  <c r="Z84" i="72"/>
  <c r="X84" i="72"/>
  <c r="Y83" i="72"/>
  <c r="AA83" i="72"/>
  <c r="AE83" i="72"/>
  <c r="AC83" i="72"/>
  <c r="Y19" i="72"/>
  <c r="AE19" i="72"/>
  <c r="AA19" i="72"/>
  <c r="AC19" i="72"/>
  <c r="Y70" i="72"/>
  <c r="AD70" i="72"/>
  <c r="AB70" i="72"/>
  <c r="AC70" i="72"/>
  <c r="Z27" i="72"/>
  <c r="X27" i="72"/>
  <c r="AA27" i="72"/>
  <c r="AE27" i="72"/>
  <c r="Y14" i="72"/>
  <c r="AD14" i="72"/>
  <c r="AC14" i="72"/>
  <c r="Z14" i="72"/>
  <c r="AA55" i="72"/>
  <c r="AC55" i="72"/>
  <c r="Y55" i="72"/>
  <c r="AD55" i="72"/>
  <c r="AC79" i="72"/>
  <c r="AE79" i="72"/>
  <c r="AA79" i="72"/>
  <c r="AB41" i="72"/>
  <c r="AC41" i="72"/>
  <c r="AD41" i="72"/>
  <c r="AB71" i="72"/>
  <c r="AD71" i="72"/>
  <c r="Z71" i="72"/>
  <c r="AB57" i="72"/>
  <c r="AC57" i="72"/>
  <c r="AA37" i="72"/>
  <c r="AE37" i="72"/>
  <c r="AD57" i="72"/>
  <c r="AD18" i="72"/>
  <c r="Y37" i="72"/>
  <c r="X57" i="72"/>
  <c r="Z57" i="72"/>
  <c r="AA23" i="72"/>
  <c r="Z49" i="72"/>
  <c r="AC53" i="72"/>
  <c r="X32" i="72"/>
  <c r="AA32" i="72"/>
  <c r="AE32" i="72"/>
  <c r="AD32" i="72"/>
  <c r="AB32" i="72"/>
  <c r="Z48" i="72"/>
  <c r="AB48" i="72"/>
  <c r="AD48" i="72"/>
  <c r="AA48" i="72"/>
  <c r="X48" i="72"/>
  <c r="X61" i="72"/>
  <c r="AB61" i="72"/>
  <c r="AD61" i="72"/>
  <c r="AE61" i="72"/>
  <c r="Z61" i="72"/>
  <c r="Z52" i="72"/>
  <c r="X52" i="72"/>
  <c r="AD52" i="72"/>
  <c r="Y52" i="72"/>
  <c r="AA52" i="72"/>
  <c r="AA33" i="72"/>
  <c r="Y33" i="72"/>
  <c r="Z33" i="72"/>
  <c r="AE33" i="72"/>
  <c r="AB33" i="72"/>
  <c r="AA99" i="72"/>
  <c r="X99" i="72"/>
  <c r="Z99" i="72"/>
  <c r="AD99" i="72"/>
  <c r="Y99" i="72"/>
  <c r="X53" i="72"/>
  <c r="AB53" i="72"/>
  <c r="AD53" i="72"/>
  <c r="AE53" i="72"/>
  <c r="Z53" i="72"/>
  <c r="Z23" i="72"/>
  <c r="X23" i="72"/>
  <c r="AB23" i="72"/>
  <c r="AC23" i="72"/>
  <c r="AE23" i="72"/>
  <c r="AA49" i="72"/>
  <c r="X49" i="72"/>
  <c r="AB49" i="72"/>
  <c r="AE49" i="72"/>
  <c r="AC49" i="72"/>
  <c r="AB59" i="72"/>
  <c r="Z59" i="72"/>
  <c r="Y59" i="72"/>
  <c r="AC59" i="72"/>
  <c r="X59" i="72"/>
  <c r="Z18" i="72"/>
  <c r="Y18" i="72"/>
  <c r="Y10" i="72"/>
  <c r="AA10" i="72"/>
  <c r="X10" i="72"/>
  <c r="AE10" i="72"/>
  <c r="Z10" i="72"/>
  <c r="E8" i="17"/>
  <c r="E61" i="17" s="1"/>
  <c r="K32" i="17"/>
  <c r="K6" i="17"/>
  <c r="K38" i="17"/>
  <c r="E10" i="16"/>
  <c r="K5" i="17"/>
  <c r="K7" i="17"/>
  <c r="AF29" i="72" l="1"/>
  <c r="AG29" i="72" s="1"/>
  <c r="AF39" i="72"/>
  <c r="AG39" i="72" s="1"/>
  <c r="AF51" i="72"/>
  <c r="AG51" i="72" s="1"/>
  <c r="AF44" i="72"/>
  <c r="AG44" i="72" s="1"/>
  <c r="AF21" i="72"/>
  <c r="AF22" i="72"/>
  <c r="AG21" i="72"/>
  <c r="AG22" i="72"/>
  <c r="AF26" i="72"/>
  <c r="AG26" i="72" s="1"/>
  <c r="AF86" i="72"/>
  <c r="AG86" i="72" s="1"/>
  <c r="AF17" i="72"/>
  <c r="AG17" i="72" s="1"/>
  <c r="AF28" i="72"/>
  <c r="AG28" i="72" s="1"/>
  <c r="AF38" i="72"/>
  <c r="AG38" i="72" s="1"/>
  <c r="AF66" i="72"/>
  <c r="AG66" i="72" s="1"/>
  <c r="AF81" i="72"/>
  <c r="AG81" i="72" s="1"/>
  <c r="AF36" i="72"/>
  <c r="AG36" i="72" s="1"/>
  <c r="AF42" i="72"/>
  <c r="AG42" i="72" s="1"/>
  <c r="AF75" i="72"/>
  <c r="AG75" i="72" s="1"/>
  <c r="AF12" i="72"/>
  <c r="AG12" i="72" s="1"/>
  <c r="AF87" i="72"/>
  <c r="AG87" i="72" s="1"/>
  <c r="AF98" i="72"/>
  <c r="AG98" i="72" s="1"/>
  <c r="AF88" i="72"/>
  <c r="AG88" i="72" s="1"/>
  <c r="AF31" i="72"/>
  <c r="AG31" i="72" s="1"/>
  <c r="AF76" i="72"/>
  <c r="AG76" i="72" s="1"/>
  <c r="AF56" i="72"/>
  <c r="AG56" i="72" s="1"/>
  <c r="AF7" i="72"/>
  <c r="AG7" i="72" s="1"/>
  <c r="AF64" i="72"/>
  <c r="AG64" i="72" s="1"/>
  <c r="AF8" i="72"/>
  <c r="AG8" i="72" s="1"/>
  <c r="AF40" i="72"/>
  <c r="AG40" i="72" s="1"/>
  <c r="AF9" i="72"/>
  <c r="AG9" i="72" s="1"/>
  <c r="AF16" i="72"/>
  <c r="AG16" i="72" s="1"/>
  <c r="AF43" i="72"/>
  <c r="AG43" i="72" s="1"/>
  <c r="AF60" i="72"/>
  <c r="AG60" i="72" s="1"/>
  <c r="AF54" i="72"/>
  <c r="AG54" i="72" s="1"/>
  <c r="AF58" i="72"/>
  <c r="AG58" i="72" s="1"/>
  <c r="AF33" i="72"/>
  <c r="AG33" i="72" s="1"/>
  <c r="AF46" i="72"/>
  <c r="AG46" i="72" s="1"/>
  <c r="AF73" i="72"/>
  <c r="AG73" i="72" s="1"/>
  <c r="AF68" i="72"/>
  <c r="AG68" i="72" s="1"/>
  <c r="AF65" i="72"/>
  <c r="AG65" i="72" s="1"/>
  <c r="AF13" i="72"/>
  <c r="AG13" i="72" s="1"/>
  <c r="AF80" i="72"/>
  <c r="AG80" i="72" s="1"/>
  <c r="AF45" i="72"/>
  <c r="AG45" i="72" s="1"/>
  <c r="AF18" i="72"/>
  <c r="AG18" i="72" s="1"/>
  <c r="AF62" i="72"/>
  <c r="AG62" i="72" s="1"/>
  <c r="AF69" i="72"/>
  <c r="AF32" i="72"/>
  <c r="AG32" i="72" s="1"/>
  <c r="AF83" i="72"/>
  <c r="AG83" i="72" s="1"/>
  <c r="AF15" i="72"/>
  <c r="AG15" i="72" s="1"/>
  <c r="AF71" i="72"/>
  <c r="AG71" i="72" s="1"/>
  <c r="AF41" i="72"/>
  <c r="AG41" i="72" s="1"/>
  <c r="AF74" i="72"/>
  <c r="AG74" i="72" s="1"/>
  <c r="AF67" i="72"/>
  <c r="AG67" i="72" s="1"/>
  <c r="AF72" i="72"/>
  <c r="AG72" i="72" s="1"/>
  <c r="AF85" i="72"/>
  <c r="AG85" i="72" s="1"/>
  <c r="AG69" i="72"/>
  <c r="AF48" i="72"/>
  <c r="AG48" i="72" s="1"/>
  <c r="AF14" i="72"/>
  <c r="AG14" i="72" s="1"/>
  <c r="AF77" i="72"/>
  <c r="AG77" i="72" s="1"/>
  <c r="AF63" i="72"/>
  <c r="AG63" i="72" s="1"/>
  <c r="AF35" i="72"/>
  <c r="AG35" i="72" s="1"/>
  <c r="AF99" i="72"/>
  <c r="AG99" i="72" s="1"/>
  <c r="AF82" i="72"/>
  <c r="AG82" i="72" s="1"/>
  <c r="AF19" i="72"/>
  <c r="AG19" i="72" s="1"/>
  <c r="AF50" i="72"/>
  <c r="AG50" i="72" s="1"/>
  <c r="AF30" i="72"/>
  <c r="AG30" i="72" s="1"/>
  <c r="AF25" i="72"/>
  <c r="AG25" i="72" s="1"/>
  <c r="AF59" i="72"/>
  <c r="AG59" i="72" s="1"/>
  <c r="AF84" i="72"/>
  <c r="AG84" i="72" s="1"/>
  <c r="AF49" i="72"/>
  <c r="AG49" i="72" s="1"/>
  <c r="AF53" i="72"/>
  <c r="AG53" i="72" s="1"/>
  <c r="AF27" i="72"/>
  <c r="AG27" i="72" s="1"/>
  <c r="AF24" i="72"/>
  <c r="AG24" i="72" s="1"/>
  <c r="AF37" i="72"/>
  <c r="AG37" i="72" s="1"/>
  <c r="AF79" i="72"/>
  <c r="AG79" i="72" s="1"/>
  <c r="AF47" i="72"/>
  <c r="AG47" i="72" s="1"/>
  <c r="AF20" i="72"/>
  <c r="AG20" i="72" s="1"/>
  <c r="AF34" i="72"/>
  <c r="AG34" i="72" s="1"/>
  <c r="AF55" i="72"/>
  <c r="AG55" i="72" s="1"/>
  <c r="AF70" i="72"/>
  <c r="AG70" i="72" s="1"/>
  <c r="AF23" i="72"/>
  <c r="AG23" i="72" s="1"/>
  <c r="AF61" i="72"/>
  <c r="AG61" i="72" s="1"/>
  <c r="AF57" i="72"/>
  <c r="AG57" i="72" s="1"/>
  <c r="AF11" i="72"/>
  <c r="AG11" i="72" s="1"/>
  <c r="M91" i="72"/>
  <c r="M100" i="72" s="1"/>
  <c r="M107" i="72" s="1"/>
  <c r="Y6" i="72"/>
  <c r="Y91" i="72" s="1"/>
  <c r="Y100" i="72" s="1"/>
  <c r="Y107" i="72" s="1"/>
  <c r="C9" i="73" s="1"/>
  <c r="D9" i="73" s="1"/>
  <c r="E9" i="73" s="1"/>
  <c r="O17" i="17" s="1"/>
  <c r="O21" i="17" s="1"/>
  <c r="AC6" i="72"/>
  <c r="AC91" i="72" s="1"/>
  <c r="AC100" i="72" s="1"/>
  <c r="AC107" i="72" s="1"/>
  <c r="C13" i="73" s="1"/>
  <c r="D13" i="73" s="1"/>
  <c r="E13" i="73" s="1"/>
  <c r="O41" i="17" s="1"/>
  <c r="AB6" i="72"/>
  <c r="AA6" i="72"/>
  <c r="AA91" i="72" s="1"/>
  <c r="AA100" i="72" s="1"/>
  <c r="AA107" i="72" s="1"/>
  <c r="C11" i="73" s="1"/>
  <c r="AE6" i="72"/>
  <c r="AE91" i="72" s="1"/>
  <c r="AE100" i="72" s="1"/>
  <c r="AE107" i="72" s="1"/>
  <c r="C15" i="73" s="1"/>
  <c r="D15" i="73" s="1"/>
  <c r="E15" i="73" s="1"/>
  <c r="O53" i="17" s="1"/>
  <c r="X6" i="72"/>
  <c r="X91" i="72" s="1"/>
  <c r="X100" i="72" s="1"/>
  <c r="X107" i="72" s="1"/>
  <c r="C8" i="73" s="1"/>
  <c r="D8" i="73" s="1"/>
  <c r="Z6" i="72"/>
  <c r="Z91" i="72" s="1"/>
  <c r="Z100" i="72" s="1"/>
  <c r="Z107" i="72" s="1"/>
  <c r="C10" i="73" s="1"/>
  <c r="D10" i="73" s="1"/>
  <c r="E10" i="73" s="1"/>
  <c r="O23" i="17" s="1"/>
  <c r="O27" i="17" s="1"/>
  <c r="AD6" i="72"/>
  <c r="AD91" i="72" s="1"/>
  <c r="AD100" i="72" s="1"/>
  <c r="AD107" i="72" s="1"/>
  <c r="C14" i="73" s="1"/>
  <c r="D14" i="73" s="1"/>
  <c r="E14" i="73" s="1"/>
  <c r="O47" i="17" s="1"/>
  <c r="O48" i="17" s="1"/>
  <c r="AB91" i="72"/>
  <c r="AB100" i="72" s="1"/>
  <c r="AB107" i="72" s="1"/>
  <c r="C12" i="73" s="1"/>
  <c r="D12" i="73" s="1"/>
  <c r="E12" i="73" s="1"/>
  <c r="O35" i="17" s="1"/>
  <c r="O39" i="17" s="1"/>
  <c r="AF52" i="72"/>
  <c r="AG52" i="72" s="1"/>
  <c r="AF10" i="72"/>
  <c r="AG10" i="72" s="1"/>
  <c r="K8" i="17"/>
  <c r="K61" i="17" s="1"/>
  <c r="K10" i="16"/>
  <c r="O51" i="17" l="1"/>
  <c r="O49" i="17"/>
  <c r="O50" i="17" s="1"/>
  <c r="O37" i="17"/>
  <c r="O25" i="17"/>
  <c r="O36" i="17"/>
  <c r="O18" i="17"/>
  <c r="O24" i="17"/>
  <c r="C16" i="73"/>
  <c r="C7" i="16" s="1"/>
  <c r="AF6" i="72"/>
  <c r="O54" i="17"/>
  <c r="O55" i="17"/>
  <c r="O19" i="17"/>
  <c r="D11" i="73"/>
  <c r="E11" i="73" s="1"/>
  <c r="O29" i="17" s="1"/>
  <c r="O30" i="17" s="1"/>
  <c r="O42" i="17"/>
  <c r="O45" i="17"/>
  <c r="O43" i="17"/>
  <c r="O44" i="17" s="1"/>
  <c r="O57" i="17"/>
  <c r="E8" i="73"/>
  <c r="O10" i="17" s="1"/>
  <c r="O38" i="17"/>
  <c r="O26" i="17" l="1"/>
  <c r="O20" i="17"/>
  <c r="O56" i="17"/>
  <c r="AG6" i="72"/>
  <c r="AG91" i="72" s="1"/>
  <c r="AG100" i="72" s="1"/>
  <c r="AG107" i="72" s="1"/>
  <c r="AG108" i="72" s="1"/>
  <c r="AF91" i="72"/>
  <c r="AF100" i="72" s="1"/>
  <c r="AF107" i="72" s="1"/>
  <c r="C17" i="73" s="1"/>
  <c r="D16" i="73"/>
  <c r="O31" i="17"/>
  <c r="O32" i="17" s="1"/>
  <c r="O33" i="17"/>
  <c r="E16" i="73"/>
  <c r="O11" i="17"/>
  <c r="O15" i="17" s="1"/>
  <c r="O59" i="17"/>
  <c r="D7" i="16"/>
  <c r="D8" i="16" s="1"/>
  <c r="C8" i="16"/>
  <c r="C11" i="16" l="1"/>
  <c r="D17" i="73"/>
  <c r="C18" i="73"/>
  <c r="C150" i="43" s="1"/>
  <c r="O12" i="17"/>
  <c r="O13" i="17"/>
  <c r="E7" i="16"/>
  <c r="O14" i="17" l="1"/>
  <c r="C12" i="16"/>
  <c r="D11" i="16"/>
  <c r="D12" i="16" s="1"/>
  <c r="D20" i="16" s="1"/>
  <c r="E17" i="73"/>
  <c r="E18" i="73" s="1"/>
  <c r="D18" i="73"/>
  <c r="K7" i="16"/>
  <c r="E8" i="16"/>
  <c r="L5" i="17" l="1"/>
  <c r="L7" i="17"/>
  <c r="R7" i="17" s="1"/>
  <c r="L27" i="17" s="1"/>
  <c r="L6" i="17"/>
  <c r="R6" i="17" s="1"/>
  <c r="L43" i="17" s="1"/>
  <c r="E11" i="16"/>
  <c r="C20" i="16"/>
  <c r="C22" i="16"/>
  <c r="K8" i="16"/>
  <c r="O6" i="17"/>
  <c r="O8" i="17" s="1"/>
  <c r="O61" i="17" s="1"/>
  <c r="L13" i="17"/>
  <c r="L19" i="17" l="1"/>
  <c r="L31" i="17"/>
  <c r="L25" i="17"/>
  <c r="L33" i="17"/>
  <c r="L49" i="17"/>
  <c r="L55" i="17"/>
  <c r="L37" i="17"/>
  <c r="L15" i="17"/>
  <c r="L51" i="17"/>
  <c r="L45" i="17"/>
  <c r="L39" i="17"/>
  <c r="L57" i="17"/>
  <c r="L21" i="17"/>
  <c r="K11" i="16"/>
  <c r="E12" i="16"/>
  <c r="R5" i="17"/>
  <c r="L8" i="17"/>
  <c r="L18" i="17" l="1"/>
  <c r="L20" i="17" s="1"/>
  <c r="L17" i="17" s="1"/>
  <c r="L54" i="17"/>
  <c r="L56" i="17" s="1"/>
  <c r="L53" i="17" s="1"/>
  <c r="L48" i="17"/>
  <c r="L50" i="17" s="1"/>
  <c r="L47" i="17" s="1"/>
  <c r="L30" i="17"/>
  <c r="L32" i="17" s="1"/>
  <c r="L29" i="17" s="1"/>
  <c r="L42" i="17"/>
  <c r="L44" i="17" s="1"/>
  <c r="L41" i="17" s="1"/>
  <c r="L12" i="17"/>
  <c r="L14" i="17" s="1"/>
  <c r="L36" i="17"/>
  <c r="L38" i="17" s="1"/>
  <c r="L35" i="17" s="1"/>
  <c r="L11" i="17"/>
  <c r="L24" i="17"/>
  <c r="L26" i="17" s="1"/>
  <c r="L23" i="17" s="1"/>
  <c r="M7" i="17"/>
  <c r="M6" i="17" s="1"/>
  <c r="K12" i="16"/>
  <c r="K20" i="16" s="1"/>
  <c r="N5" i="17"/>
  <c r="E20" i="16"/>
  <c r="E25" i="16" s="1"/>
  <c r="E27" i="16" s="1"/>
  <c r="S5" i="17" l="1"/>
  <c r="N8" i="17"/>
  <c r="S6" i="17"/>
  <c r="M8" i="17"/>
  <c r="M11" i="17" s="1"/>
  <c r="L10" i="17"/>
  <c r="L59" i="17" s="1"/>
  <c r="L61" i="17" s="1"/>
  <c r="M17" i="17" l="1"/>
  <c r="M29" i="17"/>
  <c r="M15" i="17"/>
  <c r="M47" i="17"/>
  <c r="M13" i="17"/>
  <c r="M12" i="17"/>
  <c r="M53" i="17"/>
  <c r="M35" i="17"/>
  <c r="M23" i="17"/>
  <c r="M41" i="17"/>
  <c r="N29" i="17"/>
  <c r="N17" i="17"/>
  <c r="N10" i="17"/>
  <c r="N23" i="17"/>
  <c r="N47" i="17"/>
  <c r="N41" i="17"/>
  <c r="N53" i="17"/>
  <c r="N35" i="17"/>
  <c r="N39" i="17" l="1"/>
  <c r="N36" i="17"/>
  <c r="N37" i="17"/>
  <c r="N42" i="17"/>
  <c r="N43" i="17"/>
  <c r="N45" i="17"/>
  <c r="N25" i="17"/>
  <c r="N27" i="17"/>
  <c r="N24" i="17"/>
  <c r="N18" i="17"/>
  <c r="N19" i="17"/>
  <c r="N21" i="17"/>
  <c r="M45" i="17"/>
  <c r="M42" i="17"/>
  <c r="M43" i="17"/>
  <c r="M37" i="17"/>
  <c r="M39" i="17"/>
  <c r="M36" i="17"/>
  <c r="M51" i="17"/>
  <c r="M49" i="17"/>
  <c r="M48" i="17"/>
  <c r="M30" i="17"/>
  <c r="M31" i="17"/>
  <c r="M33" i="17"/>
  <c r="N54" i="17"/>
  <c r="N57" i="17"/>
  <c r="N55" i="17"/>
  <c r="N56" i="17" s="1"/>
  <c r="N59" i="17"/>
  <c r="N61" i="17" s="1"/>
  <c r="N48" i="17"/>
  <c r="N51" i="17"/>
  <c r="N49" i="17"/>
  <c r="N50" i="17" s="1"/>
  <c r="N11" i="17"/>
  <c r="N15" i="17" s="1"/>
  <c r="N30" i="17"/>
  <c r="N31" i="17"/>
  <c r="N33" i="17"/>
  <c r="M27" i="17"/>
  <c r="M24" i="17"/>
  <c r="M25" i="17"/>
  <c r="M57" i="17"/>
  <c r="M54" i="17"/>
  <c r="M55" i="17"/>
  <c r="M14" i="17"/>
  <c r="M10" i="17" s="1"/>
  <c r="M59" i="17" s="1"/>
  <c r="M19" i="17"/>
  <c r="M21" i="17"/>
  <c r="M18" i="17"/>
  <c r="M50" i="17" l="1"/>
  <c r="M26" i="17"/>
  <c r="N32" i="17"/>
  <c r="N13" i="17"/>
  <c r="M44" i="17"/>
  <c r="N20" i="17"/>
  <c r="M20" i="17"/>
  <c r="P62" i="17"/>
  <c r="P25" i="17" s="1"/>
  <c r="Q25" i="17" s="1"/>
  <c r="M61" i="17"/>
  <c r="M38" i="17"/>
  <c r="M56" i="17"/>
  <c r="N12" i="17"/>
  <c r="P12" i="17" s="1"/>
  <c r="Q12" i="17" s="1"/>
  <c r="D9" i="21" s="1"/>
  <c r="G9" i="21" s="1"/>
  <c r="H9" i="21" s="1"/>
  <c r="M32" i="17"/>
  <c r="N26" i="17"/>
  <c r="N44" i="17"/>
  <c r="N38" i="17"/>
  <c r="K9" i="21" l="1"/>
  <c r="R9" i="21"/>
  <c r="N14" i="17"/>
  <c r="P57" i="17"/>
  <c r="Q57" i="17" s="1"/>
  <c r="D54" i="21" s="1"/>
  <c r="P7" i="17"/>
  <c r="Q7" i="17" s="1"/>
  <c r="P24" i="17"/>
  <c r="P42" i="17"/>
  <c r="Q42" i="17" s="1"/>
  <c r="D39" i="21" s="1"/>
  <c r="P53" i="17"/>
  <c r="P48" i="17"/>
  <c r="Q48" i="17" s="1"/>
  <c r="D45" i="21" s="1"/>
  <c r="P11" i="17"/>
  <c r="Q11" i="17" s="1"/>
  <c r="D8" i="21" s="1"/>
  <c r="P21" i="17"/>
  <c r="Q21" i="17" s="1"/>
  <c r="D18" i="21" s="1"/>
  <c r="P5" i="17"/>
  <c r="Q5" i="17" s="1"/>
  <c r="P17" i="17"/>
  <c r="Q17" i="17" s="1"/>
  <c r="P33" i="17"/>
  <c r="Q33" i="17" s="1"/>
  <c r="D30" i="21" s="1"/>
  <c r="P19" i="17"/>
  <c r="P43" i="17"/>
  <c r="P30" i="17"/>
  <c r="Q30" i="17" s="1"/>
  <c r="D27" i="21" s="1"/>
  <c r="P45" i="17"/>
  <c r="Q45" i="17" s="1"/>
  <c r="D42" i="21" s="1"/>
  <c r="P6" i="17"/>
  <c r="Q6" i="17" s="1"/>
  <c r="P10" i="17"/>
  <c r="Q10" i="17" s="1"/>
  <c r="P36" i="17"/>
  <c r="Q36" i="17" s="1"/>
  <c r="D33" i="21" s="1"/>
  <c r="P51" i="17"/>
  <c r="Q51" i="17" s="1"/>
  <c r="D48" i="21" s="1"/>
  <c r="P31" i="17"/>
  <c r="P13" i="17"/>
  <c r="P55" i="17"/>
  <c r="P27" i="17"/>
  <c r="Q27" i="17" s="1"/>
  <c r="D24" i="21" s="1"/>
  <c r="P29" i="17"/>
  <c r="Q29" i="17" s="1"/>
  <c r="P15" i="17"/>
  <c r="Q15" i="17" s="1"/>
  <c r="D12" i="21" s="1"/>
  <c r="P41" i="17"/>
  <c r="Q41" i="17" s="1"/>
  <c r="P39" i="17"/>
  <c r="Q39" i="17" s="1"/>
  <c r="D36" i="21" s="1"/>
  <c r="P37" i="17"/>
  <c r="P47" i="17"/>
  <c r="Q47" i="17" s="1"/>
  <c r="P23" i="17"/>
  <c r="Q23" i="17" s="1"/>
  <c r="P35" i="17"/>
  <c r="Q35" i="17" s="1"/>
  <c r="D32" i="21" s="1"/>
  <c r="P49" i="17"/>
  <c r="P54" i="17"/>
  <c r="Q54" i="17" s="1"/>
  <c r="D51" i="21" s="1"/>
  <c r="P18" i="17"/>
  <c r="Q18" i="17" s="1"/>
  <c r="D15" i="21" s="1"/>
  <c r="D22" i="21"/>
  <c r="R51" i="21" l="1"/>
  <c r="K51" i="21"/>
  <c r="G51" i="21"/>
  <c r="H51" i="21" s="1"/>
  <c r="F22" i="42"/>
  <c r="K32" i="21"/>
  <c r="R32" i="21"/>
  <c r="G32" i="21"/>
  <c r="H32" i="21" s="1"/>
  <c r="F24" i="42"/>
  <c r="G36" i="21"/>
  <c r="H36" i="21" s="1"/>
  <c r="R36" i="21"/>
  <c r="K36" i="21"/>
  <c r="R12" i="21"/>
  <c r="K12" i="21"/>
  <c r="F8" i="42"/>
  <c r="G12" i="21"/>
  <c r="H12" i="21" s="1"/>
  <c r="G24" i="21"/>
  <c r="H24" i="21" s="1"/>
  <c r="R24" i="21"/>
  <c r="F16" i="42"/>
  <c r="K24" i="21"/>
  <c r="Q13" i="17"/>
  <c r="P14" i="17"/>
  <c r="G48" i="21"/>
  <c r="H48" i="21" s="1"/>
  <c r="R48" i="21"/>
  <c r="F32" i="42"/>
  <c r="K48" i="21"/>
  <c r="G42" i="21"/>
  <c r="H42" i="21" s="1"/>
  <c r="K42" i="21"/>
  <c r="R42" i="21"/>
  <c r="F28" i="42"/>
  <c r="P44" i="17"/>
  <c r="Q43" i="17"/>
  <c r="R30" i="21"/>
  <c r="F20" i="42"/>
  <c r="G30" i="21"/>
  <c r="H30" i="21" s="1"/>
  <c r="K30" i="21"/>
  <c r="Q8" i="17"/>
  <c r="F6" i="42"/>
  <c r="K8" i="21"/>
  <c r="R8" i="21"/>
  <c r="G8" i="21"/>
  <c r="H8" i="21" s="1"/>
  <c r="P59" i="17"/>
  <c r="Q53" i="17"/>
  <c r="Q59" i="17" s="1"/>
  <c r="Q24" i="17"/>
  <c r="P26" i="17"/>
  <c r="F36" i="42"/>
  <c r="R54" i="21"/>
  <c r="K54" i="21"/>
  <c r="G54" i="21"/>
  <c r="H54" i="21" s="1"/>
  <c r="R15" i="21"/>
  <c r="K15" i="21"/>
  <c r="G15" i="21"/>
  <c r="H15" i="21" s="1"/>
  <c r="Q49" i="17"/>
  <c r="P50" i="17"/>
  <c r="P38" i="17"/>
  <c r="Q37" i="17"/>
  <c r="Q55" i="17"/>
  <c r="P56" i="17"/>
  <c r="Q31" i="17"/>
  <c r="P32" i="17"/>
  <c r="G33" i="21"/>
  <c r="H33" i="21" s="1"/>
  <c r="R33" i="21"/>
  <c r="K33" i="21"/>
  <c r="R27" i="21"/>
  <c r="K27" i="21"/>
  <c r="G27" i="21"/>
  <c r="H27" i="21" s="1"/>
  <c r="P20" i="17"/>
  <c r="Q19" i="17"/>
  <c r="R18" i="21"/>
  <c r="G18" i="21"/>
  <c r="H18" i="21" s="1"/>
  <c r="F12" i="42"/>
  <c r="K18" i="21"/>
  <c r="G45" i="21"/>
  <c r="H45" i="21" s="1"/>
  <c r="R45" i="21"/>
  <c r="K45" i="21"/>
  <c r="K39" i="21"/>
  <c r="G39" i="21"/>
  <c r="H39" i="21" s="1"/>
  <c r="R39" i="21"/>
  <c r="G22" i="21"/>
  <c r="H22" i="21" s="1"/>
  <c r="K22" i="21"/>
  <c r="R22" i="21"/>
  <c r="H12" i="42" l="1"/>
  <c r="L12" i="42" s="1"/>
  <c r="M12" i="42" s="1"/>
  <c r="K12" i="42"/>
  <c r="J12" i="42"/>
  <c r="D28" i="21"/>
  <c r="Q32" i="17"/>
  <c r="Q56" i="17"/>
  <c r="D52" i="21"/>
  <c r="Q50" i="17"/>
  <c r="D46" i="21"/>
  <c r="G11" i="45"/>
  <c r="Q66" i="17"/>
  <c r="G12" i="45"/>
  <c r="F9" i="45"/>
  <c r="Q61" i="17"/>
  <c r="J32" i="42"/>
  <c r="H32" i="42"/>
  <c r="L32" i="42" s="1"/>
  <c r="M32" i="42" s="1"/>
  <c r="K32" i="42"/>
  <c r="Q14" i="17"/>
  <c r="D11" i="21" s="1"/>
  <c r="D10" i="21"/>
  <c r="H16" i="42"/>
  <c r="L16" i="42" s="1"/>
  <c r="M16" i="42" s="1"/>
  <c r="K16" i="42"/>
  <c r="J16" i="42"/>
  <c r="K8" i="42"/>
  <c r="J8" i="42"/>
  <c r="H8" i="42"/>
  <c r="L8" i="42" s="1"/>
  <c r="M8" i="42" s="1"/>
  <c r="K24" i="42"/>
  <c r="H24" i="42"/>
  <c r="L24" i="42" s="1"/>
  <c r="M24" i="42" s="1"/>
  <c r="J24" i="42"/>
  <c r="J22" i="42"/>
  <c r="H22" i="42"/>
  <c r="L22" i="42" s="1"/>
  <c r="M22" i="42" s="1"/>
  <c r="K22" i="42"/>
  <c r="D16" i="21"/>
  <c r="Q20" i="17"/>
  <c r="D34" i="21"/>
  <c r="Q38" i="17"/>
  <c r="J36" i="42"/>
  <c r="H36" i="42"/>
  <c r="L36" i="42" s="1"/>
  <c r="M36" i="42" s="1"/>
  <c r="K36" i="42"/>
  <c r="D21" i="21"/>
  <c r="Q26" i="17"/>
  <c r="F11" i="45"/>
  <c r="P61" i="17"/>
  <c r="H6" i="42"/>
  <c r="L6" i="42" s="1"/>
  <c r="M6" i="42" s="1"/>
  <c r="K6" i="42"/>
  <c r="J6" i="42"/>
  <c r="K20" i="42"/>
  <c r="J20" i="42"/>
  <c r="H20" i="42"/>
  <c r="L20" i="42" s="1"/>
  <c r="M20" i="42" s="1"/>
  <c r="D40" i="21"/>
  <c r="Q44" i="17"/>
  <c r="H28" i="42"/>
  <c r="L28" i="42" s="1"/>
  <c r="M28" i="42" s="1"/>
  <c r="K28" i="42"/>
  <c r="J28" i="42"/>
  <c r="G34" i="21" l="1"/>
  <c r="H34" i="21" s="1"/>
  <c r="R34" i="21"/>
  <c r="D35" i="21"/>
  <c r="K34" i="21"/>
  <c r="F23" i="42"/>
  <c r="G16" i="21"/>
  <c r="H16" i="21" s="1"/>
  <c r="D17" i="21"/>
  <c r="R16" i="21"/>
  <c r="K16" i="21"/>
  <c r="F11" i="42"/>
  <c r="K11" i="21"/>
  <c r="R11" i="21"/>
  <c r="G11" i="21"/>
  <c r="H11" i="21" s="1"/>
  <c r="D7" i="21"/>
  <c r="D29" i="21"/>
  <c r="K28" i="21"/>
  <c r="R28" i="21"/>
  <c r="G28" i="21"/>
  <c r="H28" i="21" s="1"/>
  <c r="F19" i="42"/>
  <c r="R40" i="21"/>
  <c r="G40" i="21"/>
  <c r="H40" i="21" s="1"/>
  <c r="F27" i="42"/>
  <c r="D41" i="21"/>
  <c r="K40" i="21"/>
  <c r="C11" i="45"/>
  <c r="D11" i="45" s="1"/>
  <c r="H11" i="45"/>
  <c r="G21" i="21"/>
  <c r="H21" i="21" s="1"/>
  <c r="R21" i="21"/>
  <c r="K21" i="21"/>
  <c r="D23" i="21"/>
  <c r="F15" i="42"/>
  <c r="K10" i="21"/>
  <c r="F7" i="42"/>
  <c r="G10" i="21"/>
  <c r="H10" i="21" s="1"/>
  <c r="R10" i="21"/>
  <c r="H9" i="45"/>
  <c r="C9" i="45"/>
  <c r="D9" i="45" s="1"/>
  <c r="R46" i="21"/>
  <c r="G46" i="21"/>
  <c r="H46" i="21" s="1"/>
  <c r="D47" i="21"/>
  <c r="K46" i="21"/>
  <c r="F31" i="42"/>
  <c r="R52" i="21"/>
  <c r="G52" i="21"/>
  <c r="H52" i="21" s="1"/>
  <c r="F35" i="42"/>
  <c r="K52" i="21"/>
  <c r="D53" i="21"/>
  <c r="K35" i="42" l="1"/>
  <c r="H35" i="42"/>
  <c r="L35" i="42" s="1"/>
  <c r="M35" i="42" s="1"/>
  <c r="J35" i="42"/>
  <c r="K31" i="42"/>
  <c r="J31" i="42"/>
  <c r="H31" i="42"/>
  <c r="L31" i="42" s="1"/>
  <c r="M31" i="42" s="1"/>
  <c r="G47" i="21"/>
  <c r="H47" i="21" s="1"/>
  <c r="D44" i="21"/>
  <c r="R47" i="21"/>
  <c r="K47" i="21"/>
  <c r="D20" i="21"/>
  <c r="R23" i="21"/>
  <c r="K23" i="21"/>
  <c r="G23" i="21"/>
  <c r="H23" i="21" s="1"/>
  <c r="J27" i="42"/>
  <c r="K27" i="42"/>
  <c r="H27" i="42"/>
  <c r="L27" i="42" s="1"/>
  <c r="M27" i="42" s="1"/>
  <c r="F5" i="42"/>
  <c r="R7" i="21"/>
  <c r="G7" i="21"/>
  <c r="H7" i="21" s="1"/>
  <c r="K7" i="21"/>
  <c r="K11" i="42"/>
  <c r="J11" i="42"/>
  <c r="H11" i="42"/>
  <c r="L11" i="42" s="1"/>
  <c r="M11" i="42" s="1"/>
  <c r="R53" i="21"/>
  <c r="G53" i="21"/>
  <c r="H53" i="21" s="1"/>
  <c r="K53" i="21"/>
  <c r="D50" i="21"/>
  <c r="K7" i="42"/>
  <c r="H7" i="42"/>
  <c r="L7" i="42" s="1"/>
  <c r="M7" i="42" s="1"/>
  <c r="J7" i="42"/>
  <c r="J15" i="42"/>
  <c r="K15" i="42"/>
  <c r="H15" i="42"/>
  <c r="L15" i="42" s="1"/>
  <c r="M15" i="42" s="1"/>
  <c r="R41" i="21"/>
  <c r="D38" i="21"/>
  <c r="G41" i="21"/>
  <c r="H41" i="21" s="1"/>
  <c r="K41" i="21"/>
  <c r="K19" i="42"/>
  <c r="J19" i="42"/>
  <c r="H19" i="42"/>
  <c r="L19" i="42" s="1"/>
  <c r="M19" i="42" s="1"/>
  <c r="G29" i="21"/>
  <c r="H29" i="21" s="1"/>
  <c r="K29" i="21"/>
  <c r="D26" i="21"/>
  <c r="R29" i="21"/>
  <c r="D14" i="21"/>
  <c r="R17" i="21"/>
  <c r="G17" i="21"/>
  <c r="H17" i="21" s="1"/>
  <c r="K17" i="21"/>
  <c r="K23" i="42"/>
  <c r="J23" i="42"/>
  <c r="H23" i="42"/>
  <c r="L23" i="42" s="1"/>
  <c r="M23" i="42" s="1"/>
  <c r="G35" i="21"/>
  <c r="H35" i="21" s="1"/>
  <c r="R35" i="21"/>
  <c r="K35" i="21"/>
  <c r="K14" i="21" l="1"/>
  <c r="F10" i="42"/>
  <c r="R14" i="21"/>
  <c r="G14" i="21"/>
  <c r="G26" i="21"/>
  <c r="H26" i="21" s="1"/>
  <c r="F18" i="42"/>
  <c r="K26" i="21"/>
  <c r="R26" i="21"/>
  <c r="K38" i="21"/>
  <c r="F26" i="42"/>
  <c r="R38" i="21"/>
  <c r="G38" i="21"/>
  <c r="H38" i="21" s="1"/>
  <c r="G50" i="21"/>
  <c r="H50" i="21" s="1"/>
  <c r="K50" i="21"/>
  <c r="D56" i="21"/>
  <c r="E50" i="21" s="1"/>
  <c r="R50" i="21"/>
  <c r="F34" i="42"/>
  <c r="J5" i="42"/>
  <c r="H5" i="42"/>
  <c r="L5" i="42" s="1"/>
  <c r="M5" i="42" s="1"/>
  <c r="K5" i="42"/>
  <c r="K44" i="21"/>
  <c r="F30" i="42"/>
  <c r="G44" i="21"/>
  <c r="H44" i="21" s="1"/>
  <c r="R44" i="21"/>
  <c r="E14" i="21"/>
  <c r="K20" i="21"/>
  <c r="R20" i="21"/>
  <c r="G20" i="21"/>
  <c r="H20" i="21" s="1"/>
  <c r="F14" i="42"/>
  <c r="K14" i="42" l="1"/>
  <c r="H14" i="42"/>
  <c r="L14" i="42" s="1"/>
  <c r="M14" i="42" s="1"/>
  <c r="J14" i="42"/>
  <c r="K34" i="42"/>
  <c r="F39" i="42"/>
  <c r="J34" i="42"/>
  <c r="H34" i="42"/>
  <c r="L34" i="42" s="1"/>
  <c r="M34" i="42" s="1"/>
  <c r="H26" i="42"/>
  <c r="L26" i="42" s="1"/>
  <c r="M26" i="42" s="1"/>
  <c r="K26" i="42"/>
  <c r="J26" i="42"/>
  <c r="J18" i="42"/>
  <c r="K18" i="42"/>
  <c r="H18" i="42"/>
  <c r="L18" i="42" s="1"/>
  <c r="M18" i="42" s="1"/>
  <c r="H14" i="21"/>
  <c r="G56" i="21"/>
  <c r="H56" i="21" s="1"/>
  <c r="J10" i="42"/>
  <c r="K10" i="42"/>
  <c r="H10" i="42"/>
  <c r="L10" i="42" s="1"/>
  <c r="M10" i="42" s="1"/>
  <c r="K30" i="42"/>
  <c r="H30" i="42"/>
  <c r="L30" i="42" s="1"/>
  <c r="M30" i="42" s="1"/>
  <c r="J30" i="42"/>
  <c r="E26" i="21"/>
  <c r="K56" i="21"/>
  <c r="E56" i="21"/>
  <c r="E7" i="21"/>
  <c r="R56" i="21"/>
  <c r="F12" i="45"/>
  <c r="E38" i="21"/>
  <c r="E20" i="21"/>
  <c r="E44" i="21"/>
  <c r="E32" i="21"/>
  <c r="C12" i="45" l="1"/>
  <c r="D12" i="45" s="1"/>
  <c r="H12" i="45"/>
  <c r="J39" i="42"/>
  <c r="F42" i="42"/>
  <c r="K39" i="42"/>
</calcChain>
</file>

<file path=xl/comments1.xml><?xml version="1.0" encoding="utf-8"?>
<comments xmlns="http://schemas.openxmlformats.org/spreadsheetml/2006/main">
  <authors>
    <author>kerry</author>
  </authors>
  <commentList>
    <comment ref="H15" authorId="0">
      <text>
        <r>
          <rPr>
            <b/>
            <sz val="8"/>
            <color indexed="81"/>
            <rFont val="Tahoma"/>
            <family val="2"/>
          </rPr>
          <t>kerry:</t>
        </r>
        <r>
          <rPr>
            <sz val="8"/>
            <color indexed="81"/>
            <rFont val="Tahoma"/>
            <family val="2"/>
          </rPr>
          <t xml:space="preserve">
needs adjusting for Trentham Military</t>
        </r>
      </text>
    </comment>
    <comment ref="H16" authorId="0">
      <text>
        <r>
          <rPr>
            <b/>
            <sz val="8"/>
            <color indexed="81"/>
            <rFont val="Tahoma"/>
            <family val="2"/>
          </rPr>
          <t>kerry:</t>
        </r>
        <r>
          <rPr>
            <sz val="8"/>
            <color indexed="81"/>
            <rFont val="Tahoma"/>
            <family val="2"/>
          </rPr>
          <t xml:space="preserve">
needs adjusting for Trentham Military</t>
        </r>
      </text>
    </comment>
  </commentList>
</comments>
</file>

<file path=xl/comments2.xml><?xml version="1.0" encoding="utf-8"?>
<comments xmlns="http://schemas.openxmlformats.org/spreadsheetml/2006/main">
  <authors>
    <author>Hutt</author>
  </authors>
  <commentList>
    <comment ref="N11" authorId="0">
      <text>
        <r>
          <rPr>
            <b/>
            <sz val="8"/>
            <color indexed="81"/>
            <rFont val="Tahoma"/>
            <family val="2"/>
          </rPr>
          <t>Hutt:</t>
        </r>
        <r>
          <rPr>
            <sz val="8"/>
            <color indexed="81"/>
            <rFont val="Tahoma"/>
            <family val="2"/>
          </rPr>
          <t xml:space="preserve">
Wiegthing factor to CBD</t>
        </r>
      </text>
    </comment>
  </commentList>
</comments>
</file>

<file path=xl/comments3.xml><?xml version="1.0" encoding="utf-8"?>
<comments xmlns="http://schemas.openxmlformats.org/spreadsheetml/2006/main">
  <authors>
    <author>Kerry Saywell</author>
    <author>Linda Cocker</author>
    <author>cockerl</author>
    <author>Rong Liu</author>
    <author>Linda</author>
  </authors>
  <commentList>
    <comment ref="A1" authorId="0">
      <text>
        <r>
          <rPr>
            <b/>
            <sz val="8"/>
            <color indexed="81"/>
            <rFont val="Tahoma"/>
            <family val="2"/>
          </rPr>
          <t>Kerry Saywell:</t>
        </r>
        <r>
          <rPr>
            <sz val="8"/>
            <color indexed="81"/>
            <rFont val="Tahoma"/>
            <family val="2"/>
          </rPr>
          <t xml:space="preserve">
Each line needs a unique number. Used to compare with past data and in the rates calculation spreadsheet</t>
        </r>
      </text>
    </comment>
    <comment ref="H1" authorId="0">
      <text>
        <r>
          <rPr>
            <b/>
            <sz val="8"/>
            <color indexed="81"/>
            <rFont val="Tahoma"/>
            <family val="2"/>
          </rPr>
          <t>Kerry Saywell:</t>
        </r>
        <r>
          <rPr>
            <sz val="8"/>
            <color indexed="81"/>
            <rFont val="Tahoma"/>
            <family val="2"/>
          </rPr>
          <t xml:space="preserve">
Each line needs a unique number. Used to compare with past data and in the rates calculation spreadsheet</t>
        </r>
      </text>
    </comment>
    <comment ref="D2" authorId="1">
      <text>
        <r>
          <rPr>
            <b/>
            <sz val="8"/>
            <color indexed="81"/>
            <rFont val="Tahoma"/>
            <family val="2"/>
          </rPr>
          <t>Linda Cocker:</t>
        </r>
        <r>
          <rPr>
            <sz val="8"/>
            <color indexed="81"/>
            <rFont val="Tahoma"/>
            <family val="2"/>
          </rPr>
          <t xml:space="preserve">
from 2.9.12
</t>
        </r>
      </text>
    </comment>
    <comment ref="D3" authorId="2">
      <text>
        <r>
          <rPr>
            <b/>
            <sz val="8"/>
            <color indexed="81"/>
            <rFont val="Tahoma"/>
            <family val="2"/>
          </rPr>
          <t>cockerl:</t>
        </r>
        <r>
          <rPr>
            <sz val="8"/>
            <color indexed="81"/>
            <rFont val="Tahoma"/>
            <family val="2"/>
          </rPr>
          <t xml:space="preserve">
start 1.10.10</t>
        </r>
      </text>
    </comment>
    <comment ref="D13" authorId="1">
      <text>
        <r>
          <rPr>
            <b/>
            <sz val="8"/>
            <color indexed="81"/>
            <rFont val="Tahoma"/>
            <family val="2"/>
          </rPr>
          <t>Linda Cocker:</t>
        </r>
        <r>
          <rPr>
            <sz val="8"/>
            <color indexed="81"/>
            <rFont val="Tahoma"/>
            <family val="2"/>
          </rPr>
          <t xml:space="preserve">
from 13.1.13
</t>
        </r>
      </text>
    </comment>
    <comment ref="D16" authorId="1">
      <text>
        <r>
          <rPr>
            <b/>
            <sz val="8"/>
            <color indexed="81"/>
            <rFont val="Tahoma"/>
            <family val="2"/>
          </rPr>
          <t>Linda Cocker:</t>
        </r>
        <r>
          <rPr>
            <sz val="8"/>
            <color indexed="81"/>
            <rFont val="Tahoma"/>
            <family val="2"/>
          </rPr>
          <t xml:space="preserve">
from 19.5.13</t>
        </r>
      </text>
    </comment>
    <comment ref="D17" authorId="1">
      <text>
        <r>
          <rPr>
            <b/>
            <sz val="8"/>
            <color indexed="81"/>
            <rFont val="Tahoma"/>
            <family val="2"/>
          </rPr>
          <t>Linda Cocker:</t>
        </r>
        <r>
          <rPr>
            <sz val="8"/>
            <color indexed="81"/>
            <rFont val="Tahoma"/>
            <family val="2"/>
          </rPr>
          <t xml:space="preserve">
from 27.1.13</t>
        </r>
      </text>
    </comment>
    <comment ref="D18" authorId="1">
      <text>
        <r>
          <rPr>
            <b/>
            <sz val="8"/>
            <color indexed="81"/>
            <rFont val="Tahoma"/>
            <family val="2"/>
          </rPr>
          <t>Linda Cocker:</t>
        </r>
        <r>
          <rPr>
            <sz val="8"/>
            <color indexed="81"/>
            <rFont val="Tahoma"/>
            <family val="2"/>
          </rPr>
          <t xml:space="preserve">
from 13/6/11
</t>
        </r>
      </text>
    </comment>
    <comment ref="D19" authorId="1">
      <text>
        <r>
          <rPr>
            <b/>
            <sz val="8"/>
            <color indexed="81"/>
            <rFont val="Tahoma"/>
            <family val="2"/>
          </rPr>
          <t>Linda Cocker:</t>
        </r>
        <r>
          <rPr>
            <sz val="8"/>
            <color indexed="81"/>
            <rFont val="Tahoma"/>
            <family val="2"/>
          </rPr>
          <t xml:space="preserve">
from 5/9/11
</t>
        </r>
      </text>
    </comment>
    <comment ref="D22" authorId="2">
      <text>
        <r>
          <rPr>
            <b/>
            <sz val="8"/>
            <color indexed="81"/>
            <rFont val="Tahoma"/>
            <family val="2"/>
          </rPr>
          <t>cockerl:</t>
        </r>
        <r>
          <rPr>
            <sz val="8"/>
            <color indexed="81"/>
            <rFont val="Tahoma"/>
            <family val="2"/>
          </rPr>
          <t xml:space="preserve">
from 20.2.2011</t>
        </r>
      </text>
    </comment>
    <comment ref="D25" authorId="2">
      <text>
        <r>
          <rPr>
            <b/>
            <sz val="8"/>
            <color indexed="81"/>
            <rFont val="Tahoma"/>
            <family val="2"/>
          </rPr>
          <t>cockerl:</t>
        </r>
        <r>
          <rPr>
            <sz val="8"/>
            <color indexed="81"/>
            <rFont val="Tahoma"/>
            <family val="2"/>
          </rPr>
          <t xml:space="preserve">
from 13.1.13
</t>
        </r>
      </text>
    </comment>
    <comment ref="D26" authorId="3">
      <text>
        <r>
          <rPr>
            <b/>
            <sz val="9"/>
            <color indexed="81"/>
            <rFont val="Tahoma"/>
            <family val="2"/>
          </rPr>
          <t>Rong Liu:</t>
        </r>
        <r>
          <rPr>
            <sz val="9"/>
            <color indexed="81"/>
            <rFont val="Tahoma"/>
            <family val="2"/>
          </rPr>
          <t xml:space="preserve">
Contract price taken from Letter of Agreement. Need to follow up with Contract Variation. 
</t>
        </r>
      </text>
    </comment>
    <comment ref="I26" authorId="3">
      <text>
        <r>
          <rPr>
            <b/>
            <sz val="9"/>
            <color indexed="81"/>
            <rFont val="Tahoma"/>
            <family val="2"/>
          </rPr>
          <t>Rong Liu:</t>
        </r>
        <r>
          <rPr>
            <sz val="9"/>
            <color indexed="81"/>
            <rFont val="Tahoma"/>
            <family val="2"/>
          </rPr>
          <t xml:space="preserve">
No contract variation signed yet so added as a new variation for now</t>
        </r>
      </text>
    </comment>
    <comment ref="D27" authorId="3">
      <text>
        <r>
          <rPr>
            <b/>
            <sz val="9"/>
            <color indexed="81"/>
            <rFont val="Tahoma"/>
            <family val="2"/>
          </rPr>
          <t>Rong Liu:</t>
        </r>
        <r>
          <rPr>
            <sz val="9"/>
            <color indexed="81"/>
            <rFont val="Tahoma"/>
            <family val="2"/>
          </rPr>
          <t xml:space="preserve">
Contract price taken from Letter of Agreement. Need to follow up with Contract Variation</t>
        </r>
      </text>
    </comment>
    <comment ref="D29" authorId="2">
      <text>
        <r>
          <rPr>
            <b/>
            <sz val="8"/>
            <color indexed="81"/>
            <rFont val="Tahoma"/>
            <family val="2"/>
          </rPr>
          <t>cockerl:</t>
        </r>
        <r>
          <rPr>
            <sz val="8"/>
            <color indexed="81"/>
            <rFont val="Tahoma"/>
            <family val="2"/>
          </rPr>
          <t xml:space="preserve">
from 20.2.2011</t>
        </r>
      </text>
    </comment>
    <comment ref="D30" authorId="2">
      <text>
        <r>
          <rPr>
            <b/>
            <sz val="8"/>
            <color indexed="81"/>
            <rFont val="Tahoma"/>
            <family val="2"/>
          </rPr>
          <t>cockerl:</t>
        </r>
        <r>
          <rPr>
            <sz val="8"/>
            <color indexed="81"/>
            <rFont val="Tahoma"/>
            <family val="2"/>
          </rPr>
          <t xml:space="preserve">
from 14.10.12
</t>
        </r>
      </text>
    </comment>
    <comment ref="D32" authorId="1">
      <text>
        <r>
          <rPr>
            <b/>
            <sz val="8"/>
            <color indexed="81"/>
            <rFont val="Tahoma"/>
            <family val="2"/>
          </rPr>
          <t>Linda Cocker:</t>
        </r>
        <r>
          <rPr>
            <sz val="8"/>
            <color indexed="81"/>
            <rFont val="Tahoma"/>
            <family val="2"/>
          </rPr>
          <t xml:space="preserve">
from 27.1.13</t>
        </r>
      </text>
    </comment>
    <comment ref="D33" authorId="1">
      <text>
        <r>
          <rPr>
            <b/>
            <sz val="8"/>
            <color indexed="81"/>
            <rFont val="Tahoma"/>
            <family val="2"/>
          </rPr>
          <t>Linda Cocker:</t>
        </r>
        <r>
          <rPr>
            <sz val="8"/>
            <color indexed="81"/>
            <rFont val="Tahoma"/>
            <family val="2"/>
          </rPr>
          <t xml:space="preserve">
variation from 1.7.12
</t>
        </r>
      </text>
    </comment>
    <comment ref="D35" authorId="2">
      <text>
        <r>
          <rPr>
            <b/>
            <sz val="8"/>
            <color indexed="81"/>
            <rFont val="Tahoma"/>
            <family val="2"/>
          </rPr>
          <t>cockerl:</t>
        </r>
        <r>
          <rPr>
            <sz val="8"/>
            <color indexed="81"/>
            <rFont val="Tahoma"/>
            <family val="2"/>
          </rPr>
          <t xml:space="preserve">
from 20.2.2011</t>
        </r>
      </text>
    </comment>
    <comment ref="D36" authorId="2">
      <text>
        <r>
          <rPr>
            <b/>
            <sz val="8"/>
            <color indexed="81"/>
            <rFont val="Tahoma"/>
            <family val="2"/>
          </rPr>
          <t>cockerl:</t>
        </r>
        <r>
          <rPr>
            <sz val="8"/>
            <color indexed="81"/>
            <rFont val="Tahoma"/>
            <family val="2"/>
          </rPr>
          <t xml:space="preserve">
from 24.10.10</t>
        </r>
      </text>
    </comment>
    <comment ref="D50" authorId="4">
      <text>
        <r>
          <rPr>
            <sz val="9"/>
            <color indexed="81"/>
            <rFont val="Tahoma"/>
            <family val="2"/>
          </rPr>
          <t>variation from 29.6.14</t>
        </r>
      </text>
    </comment>
    <comment ref="D57" authorId="1">
      <text>
        <r>
          <rPr>
            <b/>
            <sz val="8"/>
            <color indexed="81"/>
            <rFont val="Tahoma"/>
            <family val="2"/>
          </rPr>
          <t>Linda Cocker:</t>
        </r>
        <r>
          <rPr>
            <sz val="8"/>
            <color indexed="81"/>
            <rFont val="Tahoma"/>
            <family val="2"/>
          </rPr>
          <t xml:space="preserve">
variation from 26/4/10
</t>
        </r>
      </text>
    </comment>
    <comment ref="D58" authorId="1">
      <text>
        <r>
          <rPr>
            <b/>
            <sz val="8"/>
            <color indexed="81"/>
            <rFont val="Tahoma"/>
            <family val="2"/>
          </rPr>
          <t>Linda Cocker:</t>
        </r>
        <r>
          <rPr>
            <sz val="8"/>
            <color indexed="81"/>
            <rFont val="Tahoma"/>
            <family val="2"/>
          </rPr>
          <t xml:space="preserve">
variation from 18.11.11
</t>
        </r>
      </text>
    </comment>
    <comment ref="D59" authorId="1">
      <text>
        <r>
          <rPr>
            <b/>
            <sz val="8"/>
            <color indexed="81"/>
            <rFont val="Tahoma"/>
            <family val="2"/>
          </rPr>
          <t>Linda Cocker:</t>
        </r>
        <r>
          <rPr>
            <sz val="8"/>
            <color indexed="81"/>
            <rFont val="Tahoma"/>
            <family val="2"/>
          </rPr>
          <t xml:space="preserve">
variation from 20.12.11
</t>
        </r>
      </text>
    </comment>
    <comment ref="D69" authorId="1">
      <text>
        <r>
          <rPr>
            <b/>
            <sz val="8"/>
            <color indexed="81"/>
            <rFont val="Tahoma"/>
            <family val="2"/>
          </rPr>
          <t>Linda Cocker:</t>
        </r>
        <r>
          <rPr>
            <sz val="8"/>
            <color indexed="81"/>
            <rFont val="Tahoma"/>
            <family val="2"/>
          </rPr>
          <t xml:space="preserve">
start 30.9.12
</t>
        </r>
      </text>
    </comment>
    <comment ref="D70" authorId="1">
      <text>
        <r>
          <rPr>
            <b/>
            <sz val="8"/>
            <color indexed="81"/>
            <rFont val="Tahoma"/>
            <family val="2"/>
          </rPr>
          <t>Linda Cocker:</t>
        </r>
        <r>
          <rPr>
            <sz val="8"/>
            <color indexed="81"/>
            <rFont val="Tahoma"/>
            <family val="2"/>
          </rPr>
          <t xml:space="preserve">
start 30.9.12
</t>
        </r>
      </text>
    </comment>
    <comment ref="D73" authorId="2">
      <text>
        <r>
          <rPr>
            <b/>
            <sz val="8"/>
            <color indexed="81"/>
            <rFont val="Tahoma"/>
            <family val="2"/>
          </rPr>
          <t>cockerl:</t>
        </r>
        <r>
          <rPr>
            <sz val="8"/>
            <color indexed="81"/>
            <rFont val="Tahoma"/>
            <family val="2"/>
          </rPr>
          <t xml:space="preserve">
usually 2 months behind
see file T34/9/6
key factor report
NB - revenue figure in report is GST inclusive</t>
        </r>
      </text>
    </comment>
    <comment ref="D75" authorId="1">
      <text>
        <r>
          <rPr>
            <b/>
            <sz val="8"/>
            <color indexed="81"/>
            <rFont val="Tahoma"/>
            <family val="2"/>
          </rPr>
          <t>Linda Cocker:</t>
        </r>
        <r>
          <rPr>
            <sz val="8"/>
            <color indexed="81"/>
            <rFont val="Tahoma"/>
            <family val="2"/>
          </rPr>
          <t xml:space="preserve">
from 5.6.12
</t>
        </r>
      </text>
    </comment>
    <comment ref="D81" authorId="2">
      <text>
        <r>
          <rPr>
            <b/>
            <sz val="8"/>
            <color indexed="81"/>
            <rFont val="Tahoma"/>
            <family val="2"/>
          </rPr>
          <t>cockerl:</t>
        </r>
        <r>
          <rPr>
            <sz val="8"/>
            <color indexed="81"/>
            <rFont val="Tahoma"/>
            <family val="2"/>
          </rPr>
          <t xml:space="preserve">
variation starts 1 Nov 10</t>
        </r>
      </text>
    </comment>
    <comment ref="D83" authorId="2">
      <text>
        <r>
          <rPr>
            <b/>
            <sz val="8"/>
            <color indexed="81"/>
            <rFont val="Tahoma"/>
            <family val="2"/>
          </rPr>
          <t>cockerl:</t>
        </r>
        <r>
          <rPr>
            <sz val="8"/>
            <color indexed="81"/>
            <rFont val="Tahoma"/>
            <family val="2"/>
          </rPr>
          <t xml:space="preserve">
variation start: 29.05.10</t>
        </r>
      </text>
    </comment>
    <comment ref="D84" authorId="2">
      <text>
        <r>
          <rPr>
            <b/>
            <sz val="8"/>
            <color indexed="81"/>
            <rFont val="Tahoma"/>
            <family val="2"/>
          </rPr>
          <t>cockerl:</t>
        </r>
        <r>
          <rPr>
            <sz val="8"/>
            <color indexed="81"/>
            <rFont val="Tahoma"/>
            <family val="2"/>
          </rPr>
          <t xml:space="preserve">
starts 1.10.10</t>
        </r>
      </text>
    </comment>
    <comment ref="D85" authorId="1">
      <text>
        <r>
          <rPr>
            <b/>
            <sz val="8"/>
            <color indexed="81"/>
            <rFont val="Tahoma"/>
            <family val="2"/>
          </rPr>
          <t>Linda Cocker:</t>
        </r>
        <r>
          <rPr>
            <sz val="8"/>
            <color indexed="81"/>
            <rFont val="Tahoma"/>
            <family val="2"/>
          </rPr>
          <t xml:space="preserve">
from 20 Feb 11
</t>
        </r>
      </text>
    </comment>
  </commentList>
</comments>
</file>

<file path=xl/comments4.xml><?xml version="1.0" encoding="utf-8"?>
<comments xmlns="http://schemas.openxmlformats.org/spreadsheetml/2006/main">
  <authors>
    <author>Kerry Saywell</author>
    <author>Rong Liu</author>
    <author>James Lee</author>
    <author>kerry</author>
  </authors>
  <commentList>
    <comment ref="A1" authorId="0">
      <text>
        <r>
          <rPr>
            <b/>
            <sz val="8"/>
            <color indexed="81"/>
            <rFont val="Tahoma"/>
            <family val="2"/>
          </rPr>
          <t>Kerry Saywell:</t>
        </r>
        <r>
          <rPr>
            <sz val="8"/>
            <color indexed="81"/>
            <rFont val="Tahoma"/>
            <family val="2"/>
          </rPr>
          <t xml:space="preserve">
Each line needs a unique number. Used to compare with past data and in the rates calculation spreadsheet</t>
        </r>
      </text>
    </comment>
    <comment ref="G1" authorId="0">
      <text>
        <r>
          <rPr>
            <b/>
            <sz val="8"/>
            <color indexed="81"/>
            <rFont val="Tahoma"/>
            <family val="2"/>
          </rPr>
          <t>Kerry Saywell:</t>
        </r>
        <r>
          <rPr>
            <sz val="8"/>
            <color indexed="81"/>
            <rFont val="Tahoma"/>
            <family val="2"/>
          </rPr>
          <t xml:space="preserve">
Each line needs a unique number. Used to compare with past data and in the rates calculation spreadsheet</t>
        </r>
      </text>
    </comment>
    <comment ref="C18" authorId="1">
      <text>
        <r>
          <rPr>
            <b/>
            <sz val="9"/>
            <color indexed="81"/>
            <rFont val="Tahoma"/>
            <family val="2"/>
          </rPr>
          <t>Rong Liu:</t>
        </r>
        <r>
          <rPr>
            <sz val="9"/>
            <color indexed="81"/>
            <rFont val="Tahoma"/>
            <family val="2"/>
          </rPr>
          <t xml:space="preserve">
From 05.05.2014
</t>
        </r>
      </text>
    </comment>
    <comment ref="C19" authorId="1">
      <text>
        <r>
          <rPr>
            <b/>
            <sz val="9"/>
            <color indexed="81"/>
            <rFont val="Tahoma"/>
            <family val="2"/>
          </rPr>
          <t>Rong Liu:</t>
        </r>
        <r>
          <rPr>
            <sz val="9"/>
            <color indexed="81"/>
            <rFont val="Tahoma"/>
            <family val="2"/>
          </rPr>
          <t xml:space="preserve">
From 05.05.2014
</t>
        </r>
      </text>
    </comment>
    <comment ref="C20" authorId="2">
      <text>
        <r>
          <rPr>
            <b/>
            <sz val="8"/>
            <color indexed="81"/>
            <rFont val="Tahoma"/>
            <family val="2"/>
          </rPr>
          <t>James Lee:</t>
        </r>
        <r>
          <rPr>
            <sz val="8"/>
            <color indexed="81"/>
            <rFont val="Tahoma"/>
            <family val="2"/>
          </rPr>
          <t xml:space="preserve">
Variation starts 13 Oct 13.</t>
        </r>
      </text>
    </comment>
    <comment ref="B31" authorId="2">
      <text>
        <r>
          <rPr>
            <b/>
            <sz val="8"/>
            <color indexed="81"/>
            <rFont val="Tahoma"/>
            <family val="2"/>
          </rPr>
          <t>James Lee:</t>
        </r>
        <r>
          <rPr>
            <sz val="8"/>
            <color indexed="81"/>
            <rFont val="Tahoma"/>
            <family val="2"/>
          </rPr>
          <t xml:space="preserve">
New k from 1 Mar 2014.</t>
        </r>
      </text>
    </comment>
    <comment ref="H31" authorId="2">
      <text>
        <r>
          <rPr>
            <b/>
            <sz val="8"/>
            <color indexed="81"/>
            <rFont val="Tahoma"/>
            <family val="2"/>
          </rPr>
          <t>James Lee:</t>
        </r>
        <r>
          <rPr>
            <sz val="8"/>
            <color indexed="81"/>
            <rFont val="Tahoma"/>
            <family val="2"/>
          </rPr>
          <t xml:space="preserve">
No contract variation signed as yet - 27/3/14.</t>
        </r>
      </text>
    </comment>
    <comment ref="B32" authorId="2">
      <text>
        <r>
          <rPr>
            <b/>
            <sz val="8"/>
            <color indexed="81"/>
            <rFont val="Tahoma"/>
            <family val="2"/>
          </rPr>
          <t>James Lee:</t>
        </r>
        <r>
          <rPr>
            <sz val="8"/>
            <color indexed="81"/>
            <rFont val="Tahoma"/>
            <family val="2"/>
          </rPr>
          <t xml:space="preserve">
New k from 1 Mar 2014.</t>
        </r>
      </text>
    </comment>
    <comment ref="C43" authorId="2">
      <text>
        <r>
          <rPr>
            <b/>
            <sz val="8"/>
            <color indexed="81"/>
            <rFont val="Tahoma"/>
            <family val="2"/>
          </rPr>
          <t>James Lee:</t>
        </r>
        <r>
          <rPr>
            <sz val="8"/>
            <color indexed="81"/>
            <rFont val="Tahoma"/>
            <family val="2"/>
          </rPr>
          <t xml:space="preserve">
Variation starts 14 Oct 13.</t>
        </r>
      </text>
    </comment>
    <comment ref="C64" authorId="1">
      <text>
        <r>
          <rPr>
            <b/>
            <sz val="9"/>
            <color indexed="81"/>
            <rFont val="Tahoma"/>
            <family val="2"/>
          </rPr>
          <t>Rong Liu:</t>
        </r>
        <r>
          <rPr>
            <sz val="9"/>
            <color indexed="81"/>
            <rFont val="Tahoma"/>
            <family val="2"/>
          </rPr>
          <t xml:space="preserve">
Variation starts 29.06.2014</t>
        </r>
      </text>
    </comment>
    <comment ref="A71" authorId="3">
      <text>
        <r>
          <rPr>
            <b/>
            <sz val="8"/>
            <color indexed="81"/>
            <rFont val="Tahoma"/>
            <family val="2"/>
          </rPr>
          <t>kerry:</t>
        </r>
        <r>
          <rPr>
            <sz val="8"/>
            <color indexed="81"/>
            <rFont val="Tahoma"/>
            <family val="2"/>
          </rPr>
          <t xml:space="preserve">
was 19100</t>
        </r>
      </text>
    </comment>
    <comment ref="G71" authorId="3">
      <text>
        <r>
          <rPr>
            <b/>
            <sz val="8"/>
            <color indexed="81"/>
            <rFont val="Tahoma"/>
            <family val="2"/>
          </rPr>
          <t>kerry:</t>
        </r>
        <r>
          <rPr>
            <sz val="8"/>
            <color indexed="81"/>
            <rFont val="Tahoma"/>
            <family val="2"/>
          </rPr>
          <t xml:space="preserve">
was 19100</t>
        </r>
      </text>
    </comment>
    <comment ref="A72" authorId="3">
      <text>
        <r>
          <rPr>
            <b/>
            <sz val="8"/>
            <color indexed="81"/>
            <rFont val="Tahoma"/>
            <family val="2"/>
          </rPr>
          <t>kerry:</t>
        </r>
        <r>
          <rPr>
            <sz val="8"/>
            <color indexed="81"/>
            <rFont val="Tahoma"/>
            <family val="2"/>
          </rPr>
          <t xml:space="preserve">
was 19100</t>
        </r>
      </text>
    </comment>
    <comment ref="G72" authorId="3">
      <text>
        <r>
          <rPr>
            <b/>
            <sz val="8"/>
            <color indexed="81"/>
            <rFont val="Tahoma"/>
            <family val="2"/>
          </rPr>
          <t>kerry:</t>
        </r>
        <r>
          <rPr>
            <sz val="8"/>
            <color indexed="81"/>
            <rFont val="Tahoma"/>
            <family val="2"/>
          </rPr>
          <t xml:space="preserve">
was 19100</t>
        </r>
      </text>
    </comment>
    <comment ref="B73" authorId="2">
      <text>
        <r>
          <rPr>
            <b/>
            <sz val="8"/>
            <color indexed="81"/>
            <rFont val="Tahoma"/>
            <family val="2"/>
          </rPr>
          <t>James Lee:</t>
        </r>
        <r>
          <rPr>
            <sz val="8"/>
            <color indexed="81"/>
            <rFont val="Tahoma"/>
            <family val="2"/>
          </rPr>
          <t xml:space="preserve">
Updated for 1 Jul 2012.</t>
        </r>
      </text>
    </comment>
  </commentList>
</comments>
</file>

<file path=xl/sharedStrings.xml><?xml version="1.0" encoding="utf-8"?>
<sst xmlns="http://schemas.openxmlformats.org/spreadsheetml/2006/main" count="3220" uniqueCount="1234">
  <si>
    <t>W.564/3000/90</t>
  </si>
  <si>
    <t>Rolling Stock Studies/Investigation.</t>
  </si>
  <si>
    <t>W.564/4000/90</t>
  </si>
  <si>
    <t>Rail Infrastructure Studies/Investigation</t>
  </si>
  <si>
    <t>CC.56901-01</t>
  </si>
  <si>
    <t>Public Transport Support CC</t>
  </si>
  <si>
    <t>W.569/0100/1</t>
  </si>
  <si>
    <t>Public Transport Support Admin WBS</t>
  </si>
  <si>
    <t>W.569/0100/99</t>
  </si>
  <si>
    <t>Public Transport Support Overheads</t>
  </si>
  <si>
    <t>W.569/0101/1</t>
  </si>
  <si>
    <t>Rail Annual Report</t>
  </si>
  <si>
    <t>Customer services &amp; information</t>
  </si>
  <si>
    <t>Upper Hutt - Fare clawback</t>
  </si>
  <si>
    <t>W.560/1434/21</t>
  </si>
  <si>
    <t>Eastbourne - Fare clawback</t>
  </si>
  <si>
    <t>W.560/1436/21</t>
  </si>
  <si>
    <t>Wainuiomata - Fare clawback</t>
  </si>
  <si>
    <t>WBS</t>
  </si>
  <si>
    <t>W.560/6100/1</t>
  </si>
  <si>
    <t>W.560/6100/2</t>
  </si>
  <si>
    <t>W.560/6200/1</t>
  </si>
  <si>
    <t>W.560/6200/2</t>
  </si>
  <si>
    <t>CC.56080-01</t>
  </si>
  <si>
    <t>W.560/1002/90</t>
  </si>
  <si>
    <t>W.560/1500/3</t>
  </si>
  <si>
    <t>Bus Service Improve Inflation</t>
  </si>
  <si>
    <t>W.560/2100/9</t>
  </si>
  <si>
    <t>W.560/2700/90</t>
  </si>
  <si>
    <t>Real Time Info Operations - Bus&amp;Rail</t>
  </si>
  <si>
    <t>W.560/2811/90</t>
  </si>
  <si>
    <t xml:space="preserve"> Hutt</t>
  </si>
  <si>
    <t xml:space="preserve"> Kapiti</t>
  </si>
  <si>
    <t xml:space="preserve"> Porirua</t>
  </si>
  <si>
    <t xml:space="preserve"> Upper Hutt</t>
  </si>
  <si>
    <t xml:space="preserve"> Wellington</t>
  </si>
  <si>
    <t>Total Trips within GW region</t>
  </si>
  <si>
    <t>(Share of admin etc. based on share of Dir Costs)</t>
  </si>
  <si>
    <t>Intra-District Trips</t>
  </si>
  <si>
    <t>Total Inter-District Trips</t>
  </si>
  <si>
    <t>Trips to Workplaces witin the Region</t>
  </si>
  <si>
    <t>Total Trips by GW Residents (exc outside region)</t>
  </si>
  <si>
    <t>Total Trips to Greater Wellington Workplaces (excluding outside the Wellington region)</t>
  </si>
  <si>
    <t>4. In the Compare worksheet copy and paste values for  "This years" rates to "Last years". Change headings.</t>
  </si>
  <si>
    <t>6. In the Essbase Download worksheet change the year periods in row 2 for the new financial year eg 2008/09 become 2009/10 etc.</t>
  </si>
  <si>
    <t>7. Review the check lines above to ensure the model still balances. After rolling, the this year/last year variances in the comparison worksheet should be nil - i.e. as the numbers will be the same)</t>
  </si>
  <si>
    <t>ECV</t>
  </si>
  <si>
    <t>Rail-Sum</t>
  </si>
  <si>
    <t>Bus-Base Data</t>
  </si>
  <si>
    <t>Bus-Sum</t>
  </si>
  <si>
    <t>NB - the sheets have been protected (no password) and should only be changed if you know what you are doing.</t>
  </si>
  <si>
    <t>PT Rail operations and asset management</t>
  </si>
  <si>
    <t>Unit.TR03</t>
  </si>
  <si>
    <t>PT Bus and ferry operations and asset management</t>
  </si>
  <si>
    <t>Unit.TR04</t>
  </si>
  <si>
    <t>PT Metlink customer services and information</t>
  </si>
  <si>
    <t>Unit.TR01</t>
  </si>
  <si>
    <t>Congestion &amp; concessionary</t>
  </si>
  <si>
    <r>
      <t xml:space="preserve">% of remaining interdistrict to </t>
    </r>
    <r>
      <rPr>
        <b/>
        <sz val="10"/>
        <rFont val="Arial"/>
        <family val="2"/>
      </rPr>
      <t>origin</t>
    </r>
    <r>
      <rPr>
        <sz val="10"/>
        <rFont val="Arial"/>
        <family val="2"/>
      </rPr>
      <t xml:space="preserve"> of travel</t>
    </r>
  </si>
  <si>
    <r>
      <t xml:space="preserve">% of remaining interdistrict to </t>
    </r>
    <r>
      <rPr>
        <b/>
        <sz val="10"/>
        <rFont val="Arial"/>
        <family val="2"/>
      </rPr>
      <t>destination</t>
    </r>
    <r>
      <rPr>
        <sz val="10"/>
        <rFont val="Arial"/>
        <family val="2"/>
      </rPr>
      <t xml:space="preserve"> of travel</t>
    </r>
  </si>
  <si>
    <r>
      <t xml:space="preserve">% of rates for interdistrict services borne by </t>
    </r>
    <r>
      <rPr>
        <b/>
        <sz val="10"/>
        <rFont val="Arial"/>
        <family val="2"/>
      </rPr>
      <t>Wellington CBD</t>
    </r>
  </si>
  <si>
    <t>% of rates for social services</t>
  </si>
  <si>
    <t>% of rates for congestion and concessionary</t>
  </si>
  <si>
    <t>% discount given to Kapiti</t>
  </si>
  <si>
    <t>% discount given to rural properties</t>
  </si>
  <si>
    <t>% discount given to Wairarapa</t>
  </si>
  <si>
    <t>Public Transport Funding</t>
  </si>
  <si>
    <t>% of cost to shift from bus to rail (interdistrict) where connected to train</t>
  </si>
  <si>
    <t>Total Mobility Funding</t>
  </si>
  <si>
    <r>
      <t xml:space="preserve">In Wellington City, % of interdistrict destination trips allocated </t>
    </r>
    <r>
      <rPr>
        <b/>
        <sz val="10"/>
        <rFont val="Arial"/>
        <family val="2"/>
      </rPr>
      <t>outside of CBD</t>
    </r>
  </si>
  <si>
    <r>
      <t xml:space="preserve">In Wellington City, % of intradistrict destination trips allocated </t>
    </r>
    <r>
      <rPr>
        <b/>
        <sz val="10"/>
        <rFont val="Arial"/>
        <family val="2"/>
      </rPr>
      <t>to the CBD</t>
    </r>
  </si>
  <si>
    <t>Unit.TR05</t>
  </si>
  <si>
    <t>PT Total Mobility</t>
  </si>
  <si>
    <t>W.560/8200/6</t>
  </si>
  <si>
    <t>Rates Required for Rail Services</t>
  </si>
  <si>
    <t>Total Rates Required for Rail</t>
  </si>
  <si>
    <t>Service Type</t>
  </si>
  <si>
    <t>Contract type</t>
  </si>
  <si>
    <t>Contract No</t>
  </si>
  <si>
    <t>Diesel</t>
  </si>
  <si>
    <t>Wgtn Central</t>
  </si>
  <si>
    <t>Unique Ref Number (per line)</t>
  </si>
  <si>
    <t>Go Wellington</t>
  </si>
  <si>
    <t>Ord Cont</t>
  </si>
  <si>
    <t>School Cont</t>
  </si>
  <si>
    <t>k11034</t>
  </si>
  <si>
    <t>Diesel Concessionary Fares</t>
  </si>
  <si>
    <t>Concess</t>
  </si>
  <si>
    <t>Valley Flyer</t>
  </si>
  <si>
    <t>k12023</t>
  </si>
  <si>
    <t>Capex - Bus Shelters Like for Like Replacement</t>
  </si>
  <si>
    <t>Revenue - Bus Shelters Like for Like Replacement</t>
  </si>
  <si>
    <t>Signage Maint &amp; Like for Like Replace</t>
  </si>
  <si>
    <t>RTI Planned Maint Contract</t>
  </si>
  <si>
    <t>Transport Website Maint &amp; Like for Like Replace</t>
  </si>
  <si>
    <t>EMU Project Admin - Recharge</t>
  </si>
  <si>
    <t>k13056</t>
  </si>
  <si>
    <t>k13061</t>
  </si>
  <si>
    <t>AMP Update - Bus and Other Infrstructure</t>
  </si>
  <si>
    <t>W.560/1415/22</t>
  </si>
  <si>
    <t>Waikanae Combo Fare Revenue</t>
  </si>
  <si>
    <t>W.560/2100/10</t>
  </si>
  <si>
    <t>W.560/2160/14</t>
  </si>
  <si>
    <t>Signage - New</t>
  </si>
  <si>
    <t>RTI Electricity</t>
  </si>
  <si>
    <t>W.154/42/1</t>
  </si>
  <si>
    <t>IntLoan1112-Capex - Bus Shelters</t>
  </si>
  <si>
    <t>W.154/42/4</t>
  </si>
  <si>
    <t>IntLoan1112-Trolley Bus-Infrastruc.Renewal</t>
  </si>
  <si>
    <t>W.560/2810/50</t>
  </si>
  <si>
    <t>Capex - Bus Shelters New</t>
  </si>
  <si>
    <t>W.560/2955/90</t>
  </si>
  <si>
    <t>Capex - Wgtn Review Interchange</t>
  </si>
  <si>
    <t>W.562/0110/90</t>
  </si>
  <si>
    <t>W.562/5000/98</t>
  </si>
  <si>
    <t>CC.56003-01</t>
  </si>
  <si>
    <t>Ganz Mavag Project Admin CC</t>
  </si>
  <si>
    <t>W.560/0205/01</t>
  </si>
  <si>
    <t>Ganz Mavag Project Admin - Recharge</t>
  </si>
  <si>
    <t>W.560/0205/99</t>
  </si>
  <si>
    <t>Ganz Mavag Project Overheads</t>
  </si>
  <si>
    <t>W.564/8000/1</t>
  </si>
  <si>
    <t>W.564/8000/99</t>
  </si>
  <si>
    <t>W.560/8110/90</t>
  </si>
  <si>
    <t>W.560/8120/90</t>
  </si>
  <si>
    <t>W.560/8150/2</t>
  </si>
  <si>
    <t>W.560/8140/90</t>
  </si>
  <si>
    <t xml:space="preserve">The data in these sheets will only change for new census data </t>
  </si>
  <si>
    <t>Contract Status</t>
  </si>
  <si>
    <t xml:space="preserve">Current </t>
  </si>
  <si>
    <t>k11075</t>
  </si>
  <si>
    <t>k11076</t>
  </si>
  <si>
    <t>k11078</t>
  </si>
  <si>
    <t>k11079</t>
  </si>
  <si>
    <t>HV112</t>
  </si>
  <si>
    <t>HV114</t>
  </si>
  <si>
    <t>Hutt Plus Ticket</t>
  </si>
  <si>
    <t>v Paraparaumu - Raumati 2002</t>
  </si>
  <si>
    <t>v Waikanae - Paraparaumu 2002</t>
  </si>
  <si>
    <t>v: Paraparaumu - Raumati 2002</t>
  </si>
  <si>
    <t>v: Waikanae - Paraparaumu 2002</t>
  </si>
  <si>
    <t>v: After Midnight Porirua Basin</t>
  </si>
  <si>
    <t xml:space="preserve">v: Sievers Grove / Elsdon </t>
  </si>
  <si>
    <t>v: Whitby-Paremata-Porirua</t>
  </si>
  <si>
    <t>v: Ascot Park to Titahi Bay</t>
  </si>
  <si>
    <t>v: Johnsonville-Porirua</t>
  </si>
  <si>
    <t>v: Porirua East Schools</t>
  </si>
  <si>
    <t>v: Grenada North Schools</t>
  </si>
  <si>
    <t>Bus and Ferry Contracts</t>
  </si>
  <si>
    <t>Bus Operations</t>
  </si>
  <si>
    <t>k12024</t>
  </si>
  <si>
    <t>Concessionary Fares - Eastbourne</t>
  </si>
  <si>
    <t>k12025</t>
  </si>
  <si>
    <t>Concessionary Fares - Hutt Valley</t>
  </si>
  <si>
    <t>k12026</t>
  </si>
  <si>
    <t>Concessionary Fares - Upper Hutt</t>
  </si>
  <si>
    <t>k12027</t>
  </si>
  <si>
    <t>Concessionary Fares - Wainuiomata</t>
  </si>
  <si>
    <t>k13029</t>
  </si>
  <si>
    <t>V:to add R56 in ex Courtenay Place at 16.22, Mon-Fri</t>
  </si>
  <si>
    <t>k13028</t>
  </si>
  <si>
    <t>Kapiti Plus Ticket</t>
  </si>
  <si>
    <t>Concessions etc.</t>
  </si>
  <si>
    <t>Essbase Rates Parts = Essbase Sum Rates</t>
  </si>
  <si>
    <t>Total Bus Contacts Cost = Essbase</t>
  </si>
  <si>
    <t>Total Bus Inflation Cost= Essbase</t>
  </si>
  <si>
    <t>Total Rail Operations Cost = Essbase</t>
  </si>
  <si>
    <t>Total Bus</t>
  </si>
  <si>
    <t>k13050</t>
  </si>
  <si>
    <t>Concessionary Fares Wgtn North</t>
  </si>
  <si>
    <t>k13049</t>
  </si>
  <si>
    <t>Concessionary Fares - Porirua</t>
  </si>
  <si>
    <t>k13048</t>
  </si>
  <si>
    <t>Concessionary Fares - Kapiti</t>
  </si>
  <si>
    <t>Concessionary Fares</t>
  </si>
  <si>
    <t>k21003</t>
  </si>
  <si>
    <t>k23008</t>
  </si>
  <si>
    <t>K24001</t>
  </si>
  <si>
    <t>Wairarapa Red Cross - Contract</t>
  </si>
  <si>
    <t>Hutt Valley</t>
  </si>
  <si>
    <t>HV111n</t>
  </si>
  <si>
    <t>HV112n</t>
  </si>
  <si>
    <t>HV114n</t>
  </si>
  <si>
    <t>HV115n</t>
  </si>
  <si>
    <t>Wainuiomata</t>
  </si>
  <si>
    <t>Mana Coach Services</t>
  </si>
  <si>
    <t>k13000</t>
  </si>
  <si>
    <t>k13004</t>
  </si>
  <si>
    <t>k13011</t>
  </si>
  <si>
    <t>k13014</t>
  </si>
  <si>
    <t>k13018</t>
  </si>
  <si>
    <t>k13038</t>
  </si>
  <si>
    <t>Wgtn North</t>
  </si>
  <si>
    <t>k13020</t>
  </si>
  <si>
    <t>k13021</t>
  </si>
  <si>
    <t>k13022</t>
  </si>
  <si>
    <t>k13023</t>
  </si>
  <si>
    <t>k13024</t>
  </si>
  <si>
    <t>k13025</t>
  </si>
  <si>
    <t>k13026</t>
  </si>
  <si>
    <t>k13027</t>
  </si>
  <si>
    <t>k13039</t>
  </si>
  <si>
    <t>k13032</t>
  </si>
  <si>
    <t>k13033</t>
  </si>
  <si>
    <t>k13034</t>
  </si>
  <si>
    <t>k13035</t>
  </si>
  <si>
    <t>k13036</t>
  </si>
  <si>
    <t>k13037</t>
  </si>
  <si>
    <t>k13040</t>
  </si>
  <si>
    <t>k13041</t>
  </si>
  <si>
    <t>k13042</t>
  </si>
  <si>
    <t>k13043</t>
  </si>
  <si>
    <t>k13045</t>
  </si>
  <si>
    <t>Tranzit Coachlines</t>
  </si>
  <si>
    <t>k14100</t>
  </si>
  <si>
    <t>MN500</t>
  </si>
  <si>
    <t>k14101</t>
  </si>
  <si>
    <t>MN501</t>
  </si>
  <si>
    <t>k14102</t>
  </si>
  <si>
    <t>MN504</t>
  </si>
  <si>
    <t>Rate</t>
  </si>
  <si>
    <t>k20000</t>
  </si>
  <si>
    <t>k20002</t>
  </si>
  <si>
    <t>k20003</t>
  </si>
  <si>
    <t>Runciman Motors</t>
  </si>
  <si>
    <t>k21002</t>
  </si>
  <si>
    <t>Classic Coaches</t>
  </si>
  <si>
    <t>Taxi</t>
  </si>
  <si>
    <t>Paraparaumu Taxis</t>
  </si>
  <si>
    <t>Bus Contracts Base Data</t>
  </si>
  <si>
    <t>Bus Contracts Summary</t>
  </si>
  <si>
    <t>Checksheet</t>
  </si>
  <si>
    <t>Summary of Allocated Costs</t>
  </si>
  <si>
    <t>Rate Summary</t>
  </si>
  <si>
    <t>Compare</t>
  </si>
  <si>
    <t>Contracts (Bus route info)</t>
  </si>
  <si>
    <t>Contracts Inf (Budgeted bus inflation)</t>
  </si>
  <si>
    <t>PK278</t>
  </si>
  <si>
    <t>Ref Number</t>
  </si>
  <si>
    <t>Calculated</t>
  </si>
  <si>
    <t>W.560/8000/1</t>
  </si>
  <si>
    <t>W.560/8000/99</t>
  </si>
  <si>
    <t>W.560/9000/1</t>
  </si>
  <si>
    <t>CC.56301-01</t>
  </si>
  <si>
    <t>CC.56320-01</t>
  </si>
  <si>
    <t>CC.56330-01</t>
  </si>
  <si>
    <t>PT database and data management</t>
  </si>
  <si>
    <t>CC.56340-01</t>
  </si>
  <si>
    <t>W.560/1400/2</t>
  </si>
  <si>
    <t>W.560/1405/2</t>
  </si>
  <si>
    <t>W.560/1410/2</t>
  </si>
  <si>
    <t>W.560/1430/2</t>
  </si>
  <si>
    <t>W.560/2700/2</t>
  </si>
  <si>
    <t xml:space="preserve">(1) If a respondent did not state a specific workplace they are assigned an area based on the information given e.g. if the </t>
  </si>
  <si>
    <t xml:space="preserve">respondent simply states Wellington City as their workplace they are not assigned an area unit, but are counted in the </t>
  </si>
  <si>
    <t>Wellington City not further defined category.</t>
  </si>
  <si>
    <t>Cents per Dollar Increase / -Decrease</t>
  </si>
  <si>
    <t>Check Totals</t>
  </si>
  <si>
    <t>Rates Increase GST excl</t>
  </si>
  <si>
    <t>Rates Increase / -Decrease %</t>
  </si>
  <si>
    <t>Cents per Dollar Increase / -Decrease %</t>
  </si>
  <si>
    <t>Rates above</t>
  </si>
  <si>
    <t>Rates per Essbase</t>
  </si>
  <si>
    <t xml:space="preserve">Data cells have been suppressed (represented by the symbol 'c') for geographies that contain less than 6 individuals. </t>
  </si>
  <si>
    <t>Difference (Should be Nil)</t>
  </si>
  <si>
    <t>Rates Per Essbase</t>
  </si>
  <si>
    <t>Difference (should be Nil)</t>
  </si>
  <si>
    <t>All cells in this table have been randomly rounded to base 3</t>
  </si>
  <si>
    <t>U</t>
  </si>
  <si>
    <t>H</t>
  </si>
  <si>
    <t>W</t>
  </si>
  <si>
    <t>P</t>
  </si>
  <si>
    <t>K</t>
  </si>
  <si>
    <t>M</t>
  </si>
  <si>
    <t>S</t>
  </si>
  <si>
    <t>PCC</t>
  </si>
  <si>
    <t>CDC</t>
  </si>
  <si>
    <t>MDC</t>
  </si>
  <si>
    <t>Rates - Total $</t>
  </si>
  <si>
    <t xml:space="preserve">Hutt City </t>
  </si>
  <si>
    <t>Rail operations and infrastructure</t>
  </si>
  <si>
    <t>Urban - Commercial</t>
  </si>
  <si>
    <t>TOTAL</t>
  </si>
  <si>
    <t>Bus Shelter Retrofit/Unplanned Maint</t>
  </si>
  <si>
    <t>RTI Unplanned Maintenance</t>
  </si>
  <si>
    <t>W.154/46/25</t>
  </si>
  <si>
    <t>IntLoan09/10-Trolley Bus - Infrastructure Renewals (start 2009)</t>
  </si>
  <si>
    <t>W.154/46/11</t>
  </si>
  <si>
    <t>W.154/46/21</t>
  </si>
  <si>
    <t>W.154/46/5</t>
  </si>
  <si>
    <t>IntLoan09/10-Capex - Bus Shelters. (start 2008)</t>
  </si>
  <si>
    <t>IntLoan09/10-Capex - Bus Shelters (09)</t>
  </si>
  <si>
    <t>IntLoan09/10-Capex - Bus Shelters (start 2007)</t>
  </si>
  <si>
    <t>Unit.0051</t>
  </si>
  <si>
    <t>Public Transport</t>
  </si>
  <si>
    <t>Integrated Ticketing Design / Tender</t>
  </si>
  <si>
    <t>Train Maintenance - Carriage Depot</t>
  </si>
  <si>
    <t>PTOM - Bus and Ferry contracting</t>
  </si>
  <si>
    <t>Integrated Ticketing Investigation</t>
  </si>
  <si>
    <t>PTOM - Rail contracting</t>
  </si>
  <si>
    <t>v.Wilton-Rongotai</t>
  </si>
  <si>
    <t>v.After Midnight Hutt Valley Routes</t>
  </si>
  <si>
    <t>v.Valley Hights/ Gracefield</t>
  </si>
  <si>
    <t>v.Naenae - Petone</t>
  </si>
  <si>
    <t>v.Western Hills</t>
  </si>
  <si>
    <t>v.Upper Hutt - Emerald Hill only</t>
  </si>
  <si>
    <t>v.Totara Park 2006</t>
  </si>
  <si>
    <t>v.Te Marua 2006</t>
  </si>
  <si>
    <t>v.Poets Block 2006</t>
  </si>
  <si>
    <t>v.Pinehaven 2006</t>
  </si>
  <si>
    <t>v.Stokes Valley to LH Schools</t>
  </si>
  <si>
    <t>v.Wainuiomata Lower Hutt Schools</t>
  </si>
  <si>
    <t>v.Wainuiomata North</t>
  </si>
  <si>
    <t>v.Wainuiomata South 2003</t>
  </si>
  <si>
    <t>v.Churton Park, Johnsonvill West, Broadmedows (includes WN452 school services)</t>
  </si>
  <si>
    <t>v.deleting one trip to add v.Newlands, Paparangi - ADD 17.04 trip ex Courtenay Place</t>
  </si>
  <si>
    <t>v.to add 14.15 &amp; 14.45 R54in ex Cortenay Plce</t>
  </si>
  <si>
    <t>v.to split Raroa Intermediate School route into 2, am&amp;pm</t>
  </si>
  <si>
    <t>v.to change 17.00 R54 ex Courtenay Place to 16.58 &amp; add a new 17.04 R54 trip ex Courtnay Place, Mon - Fri</t>
  </si>
  <si>
    <t>v.to change 16.15 R54 to 16.10, add a new 16.20 R54 trip ex Courtenay Place and change the 17.25 R53 ex Courtenay Place to 17.36, Mon - Fri</t>
  </si>
  <si>
    <t>v.After Midnight Porirua Basin</t>
  </si>
  <si>
    <t>v.Sievers Grove / Elsdon</t>
  </si>
  <si>
    <t xml:space="preserve">v.Whitby / Paremata / Porirua </t>
  </si>
  <si>
    <t>v.Johnsonville / Porirua</t>
  </si>
  <si>
    <t>v.Ascot Park / Titahi Bay</t>
  </si>
  <si>
    <t xml:space="preserve">v.Porirua East Schools </t>
  </si>
  <si>
    <t>v.Grenada North Schools</t>
  </si>
  <si>
    <t xml:space="preserve">Fare Revenue - Waikanae Combo </t>
  </si>
  <si>
    <t>v.Masterton-Featherston-Martinborough (weekdays)</t>
  </si>
  <si>
    <t>v.Masterton Town 2007</t>
  </si>
  <si>
    <t>v.Greytown - Woodside 2007</t>
  </si>
  <si>
    <t>v.Martinborough Train Connection 2007</t>
  </si>
  <si>
    <t>v.Masterton-Martinborough (weekends) 2007</t>
  </si>
  <si>
    <t>v.Otaki Services 2005</t>
  </si>
  <si>
    <t>v.Days Bay Ferry</t>
  </si>
  <si>
    <t>v.Addition of four return sailings between Queens Wharf and Days Bay</t>
  </si>
  <si>
    <t>W.155/2/51</t>
  </si>
  <si>
    <t>Public Transport Rate Reserve</t>
  </si>
  <si>
    <t>W.560/2100/13</t>
  </si>
  <si>
    <t>Regional Shelter Cleaning</t>
  </si>
  <si>
    <t>W.560/2200/10</t>
  </si>
  <si>
    <t>Trolley Bus - Contract Investigation Funding</t>
  </si>
  <si>
    <t>W.560/2880/10</t>
  </si>
  <si>
    <t>Trolley Bus - Renewals Business Case Items</t>
  </si>
  <si>
    <t>W.562/0110/3</t>
  </si>
  <si>
    <t>Fare Structure Review</t>
  </si>
  <si>
    <t>W.563/2002/6</t>
  </si>
  <si>
    <t>W.563/2002/7</t>
  </si>
  <si>
    <t>Timetable - Design &amp; Reprint</t>
  </si>
  <si>
    <t>Timetable - Other Projects</t>
  </si>
  <si>
    <t>W.563/2003/6</t>
  </si>
  <si>
    <t>W.563/2003/7</t>
  </si>
  <si>
    <t>W.563/2003/8</t>
  </si>
  <si>
    <t>W.563/2003/9</t>
  </si>
  <si>
    <t>W.563/2003/10</t>
  </si>
  <si>
    <t>Promotion - Christmas Campaign</t>
  </si>
  <si>
    <t>Promotion - Fare Increase Campaign</t>
  </si>
  <si>
    <t>Promotion - Publication Production</t>
  </si>
  <si>
    <t>Promotion - Targeted Campaign</t>
  </si>
  <si>
    <t>Promotion - Generic Advertising</t>
  </si>
  <si>
    <t>W.560/8150/90</t>
  </si>
  <si>
    <t>Total Rates Allocation</t>
  </si>
  <si>
    <t>Regional Shelter Maintenance</t>
  </si>
  <si>
    <t>W.560/2100/11</t>
  </si>
  <si>
    <t>Wairarapa Shelter Maintenance</t>
  </si>
  <si>
    <t>W.560/8000/4</t>
  </si>
  <si>
    <t>HV487</t>
  </si>
  <si>
    <t>Equalised Capital Value</t>
  </si>
  <si>
    <t>Total Mobility</t>
  </si>
  <si>
    <t>Porirua City</t>
  </si>
  <si>
    <t>Lower Hutt City</t>
  </si>
  <si>
    <t>Total Region Population</t>
  </si>
  <si>
    <t>Intra District Costs</t>
  </si>
  <si>
    <t>Total Intra District Costs</t>
  </si>
  <si>
    <t>Inter District Costs</t>
  </si>
  <si>
    <t>Total Inter District Costs</t>
  </si>
  <si>
    <t>%</t>
  </si>
  <si>
    <t>C</t>
  </si>
  <si>
    <t>Rail</t>
  </si>
  <si>
    <t>Diff</t>
  </si>
  <si>
    <t>Hutt City</t>
  </si>
  <si>
    <t>Rail Connectors</t>
  </si>
  <si>
    <t>Rates Required</t>
  </si>
  <si>
    <t>Commercial</t>
  </si>
  <si>
    <t>Total Shared Expenses</t>
  </si>
  <si>
    <t>Bus and Ferry Manager - Office</t>
  </si>
  <si>
    <t>Bus and Ferry Manager - O/heads</t>
  </si>
  <si>
    <t>CC.56008-01</t>
  </si>
  <si>
    <t>Bus &amp; Ferry Service Delivery Team Leader CC</t>
  </si>
  <si>
    <t>W.560/0800/1</t>
  </si>
  <si>
    <t>Bus &amp; Ferry Service Team Leader wbs</t>
  </si>
  <si>
    <t>W.560/0800/99</t>
  </si>
  <si>
    <t>Bus &amp; Ferry Service Delivery Team Leader - O/Heads</t>
  </si>
  <si>
    <t>Bus and Ferry Service Delivery - O/heads</t>
  </si>
  <si>
    <t>W.560/1201/21</t>
  </si>
  <si>
    <t>Ferry - Fare Clawback</t>
  </si>
  <si>
    <t>W.560/1300/8</t>
  </si>
  <si>
    <t>Trolley Bus- Karori Tunnel</t>
  </si>
  <si>
    <t>W.560/1415/20</t>
  </si>
  <si>
    <t>Kapiti - Fare Revenue</t>
  </si>
  <si>
    <t>Bus and Ferry Infrastructure - Office</t>
  </si>
  <si>
    <t>Bus and Ferry Infrastructure - O/heads</t>
  </si>
  <si>
    <t>CC.56030-01</t>
  </si>
  <si>
    <t>Bus &amp; Ferry Service Design CC</t>
  </si>
  <si>
    <t>W.560/3000/99</t>
  </si>
  <si>
    <t>Bus &amp; Ferry Serv Design - O/Heads</t>
  </si>
  <si>
    <t>W.560/3100/90</t>
  </si>
  <si>
    <t>Bus &amp; Ferry Serv Design - Projects</t>
  </si>
  <si>
    <t>W.560/5100/1</t>
  </si>
  <si>
    <t>Projects and Planning Manager - Office</t>
  </si>
  <si>
    <t>Projects and Planning Manager - O/heads</t>
  </si>
  <si>
    <t>Projects and Planning General Projects</t>
  </si>
  <si>
    <t>Projects &amp; Planning - Rail Overheads</t>
  </si>
  <si>
    <t>Projects &amp; Planning - Bus Overheads</t>
  </si>
  <si>
    <t>Customer Services Manager - Office</t>
  </si>
  <si>
    <t>Customer Services Manager - O/heads</t>
  </si>
  <si>
    <t>Marketing &amp; Information CC</t>
  </si>
  <si>
    <t>Marketing &amp; Information - Office</t>
  </si>
  <si>
    <t>Marketing &amp; Information Admin - O/Heads</t>
  </si>
  <si>
    <t>Timetable - Production</t>
  </si>
  <si>
    <t>Systems Support - Office</t>
  </si>
  <si>
    <t>Systems Support - O/Heads</t>
  </si>
  <si>
    <t>W.563/3002/1</t>
  </si>
  <si>
    <t>W.563/3003/1</t>
  </si>
  <si>
    <t>W.563/3003/2</t>
  </si>
  <si>
    <t>Austrics Maintenance Fees</t>
  </si>
  <si>
    <t>W.563/3200/1</t>
  </si>
  <si>
    <t>W.563/3200/2</t>
  </si>
  <si>
    <t>Metlink Service Centre CC</t>
  </si>
  <si>
    <t>Metlink Service Centre Admin WBS</t>
  </si>
  <si>
    <t>Metlink Service Centre O/heads</t>
  </si>
  <si>
    <t>W.560/9150/90</t>
  </si>
  <si>
    <t>Rail Operations Manager CC</t>
  </si>
  <si>
    <t>Rail Operations Manager - Office</t>
  </si>
  <si>
    <t>Rail Operations Manager Admin - O/Heads</t>
  </si>
  <si>
    <t>CC.56420-01</t>
  </si>
  <si>
    <t>Rail Service Delivery Admin CC</t>
  </si>
  <si>
    <t>W.564/2000/99</t>
  </si>
  <si>
    <t>Rail Service Delivery Admin - O/Heads</t>
  </si>
  <si>
    <t>W.564/2100/1</t>
  </si>
  <si>
    <t>W.564/2110/1</t>
  </si>
  <si>
    <t>Rail - Network Track Access Charges</t>
  </si>
  <si>
    <t>W.564/2110/2</t>
  </si>
  <si>
    <t>Rail - Network Renewals</t>
  </si>
  <si>
    <t>W.564/2110/3</t>
  </si>
  <si>
    <t>Rail - Network Incident Costs</t>
  </si>
  <si>
    <t>Carpark Cleaning / Maintenance</t>
  </si>
  <si>
    <t>W.560/8130/2</t>
  </si>
  <si>
    <t>Carpark / Station Leases &amp; Rates - General</t>
  </si>
  <si>
    <t>Wellington Station Lease</t>
  </si>
  <si>
    <t>CC.56410-01</t>
  </si>
  <si>
    <t>Rail Asset Management Team Leader CC</t>
  </si>
  <si>
    <t>W.564/1000/1</t>
  </si>
  <si>
    <t>Rail Asset Management Team Leader - Office</t>
  </si>
  <si>
    <t>W.564/1000/99</t>
  </si>
  <si>
    <t>Rail Asset Management Team Leader - O/Heads</t>
  </si>
  <si>
    <t>W.564/1010/1</t>
  </si>
  <si>
    <t>Admin Reimbursement from GWRL</t>
  </si>
  <si>
    <t>W.569/1100/1</t>
  </si>
  <si>
    <t>Trips Dest</t>
  </si>
  <si>
    <t>Trips Origin - Intra District</t>
  </si>
  <si>
    <t>Trips Terminate - Intra District</t>
  </si>
  <si>
    <t>Origin/ Dest' dollars per trip</t>
  </si>
  <si>
    <t>GWRL Staff &amp; Overheads Admin WBS</t>
  </si>
  <si>
    <t>GWRL - Rail Overhead WBS</t>
  </si>
  <si>
    <t>Bus and Ferry Service Delivery - Office</t>
  </si>
  <si>
    <t>Bus and Ferry Infrastructure Capex Wbs</t>
  </si>
  <si>
    <t>Rail Asset Management CC</t>
  </si>
  <si>
    <t>Rail Asset Management Admin WBS</t>
  </si>
  <si>
    <t>Rail Asset Management Admin O/Heads WBS</t>
  </si>
  <si>
    <t>Rail Strategy and Contracting wbs</t>
  </si>
  <si>
    <t>Rail Strategy &amp; Contracing - O/heads</t>
  </si>
  <si>
    <t>PK599</t>
  </si>
  <si>
    <t>WN599</t>
  </si>
  <si>
    <t>HV599</t>
  </si>
  <si>
    <t>HV580/3</t>
  </si>
  <si>
    <t>Rates per Assessment</t>
  </si>
  <si>
    <t>Av Capital Value</t>
  </si>
  <si>
    <t>+/- %</t>
  </si>
  <si>
    <t>W.560/1201/1</t>
  </si>
  <si>
    <t>Ferry-Contract</t>
  </si>
  <si>
    <t>W.560/1201/2</t>
  </si>
  <si>
    <t>Ferry-Improvements</t>
  </si>
  <si>
    <t>W.560/1201/3</t>
  </si>
  <si>
    <t>Ferry-Inflation</t>
  </si>
  <si>
    <t>W.560/1201/5</t>
  </si>
  <si>
    <t>Ferry-SNR</t>
  </si>
  <si>
    <t>W.560/1201/6</t>
  </si>
  <si>
    <t>Ferry-Other Adjusts</t>
  </si>
  <si>
    <t>W.560/1300/5</t>
  </si>
  <si>
    <t>Trolley-SNR</t>
  </si>
  <si>
    <t>W.560/1300/6</t>
  </si>
  <si>
    <t>Trolley-Other Adjusts</t>
  </si>
  <si>
    <t>W.560/1400/5</t>
  </si>
  <si>
    <t>Wgtn Central - SNR</t>
  </si>
  <si>
    <t>W.560/1400/6</t>
  </si>
  <si>
    <t>CC.56401-01</t>
  </si>
  <si>
    <t>W.564/9000/99</t>
  </si>
  <si>
    <t>W.564/9000/1</t>
  </si>
  <si>
    <t>W.560/1300/21</t>
  </si>
  <si>
    <t>Trolley - Fare Clawback</t>
  </si>
  <si>
    <t>W.560/1420/20</t>
  </si>
  <si>
    <t>W.154/31/37</t>
  </si>
  <si>
    <t>IntLoan0910 Capex - Bus Shelters</t>
  </si>
  <si>
    <t>Total Advised</t>
  </si>
  <si>
    <t>W.560/8300/90</t>
  </si>
  <si>
    <t>2. If any new WBS elements have been added in the current budget, you will need to insert them in the Essbase Download sheet as appropriate. (use vlookup both ways to find them)</t>
  </si>
  <si>
    <t>Wgtn Central - Other Adjusts</t>
  </si>
  <si>
    <t>W.560/1405/5</t>
  </si>
  <si>
    <t>Wgtn North - SNR</t>
  </si>
  <si>
    <t>W.560/1405/6</t>
  </si>
  <si>
    <t>Wgtn North - Other Adjusts</t>
  </si>
  <si>
    <t>W.560/1410/5</t>
  </si>
  <si>
    <t>Porirua - SNR</t>
  </si>
  <si>
    <t>W.560/1410/6</t>
  </si>
  <si>
    <t>Porirua - Other Adjusts</t>
  </si>
  <si>
    <t>W.560/1415/5</t>
  </si>
  <si>
    <t>Kapiti - SNR</t>
  </si>
  <si>
    <t>W.560/1415/6</t>
  </si>
  <si>
    <t>Kapiti - Other Adjusts</t>
  </si>
  <si>
    <t>W.560/1420/5</t>
  </si>
  <si>
    <t>Wairarapa - SNR</t>
  </si>
  <si>
    <t>W.560/1420/6</t>
  </si>
  <si>
    <t>Wairarapa - Other Adjusts</t>
  </si>
  <si>
    <t>W.560/1430/5</t>
  </si>
  <si>
    <t>Hutt Valley - SNR</t>
  </si>
  <si>
    <t>W.560/1430/6</t>
  </si>
  <si>
    <t>Hutt Valley - Other Adjusts</t>
  </si>
  <si>
    <t>W.560/1432/5</t>
  </si>
  <si>
    <t>Upper Hutt - SNR</t>
  </si>
  <si>
    <t>W.560/1432/6</t>
  </si>
  <si>
    <t>Upper Hutt - Other Adjusts</t>
  </si>
  <si>
    <t>W.560/1434/5</t>
  </si>
  <si>
    <t>Eastbourne - SNR</t>
  </si>
  <si>
    <t>W.560/1434/6</t>
  </si>
  <si>
    <t>Eastbourne - Other Adjusts</t>
  </si>
  <si>
    <t>W.560/1436/5</t>
  </si>
  <si>
    <t>Wainuiomata - SNR</t>
  </si>
  <si>
    <t>W.560/1500/1</t>
  </si>
  <si>
    <t>Bus Service Improvements</t>
  </si>
  <si>
    <t>W.560/2160/90</t>
  </si>
  <si>
    <t>Rateable Capital Value</t>
  </si>
  <si>
    <t>Rates per $100,000 ECV</t>
  </si>
  <si>
    <t>Greater Wellington Regional Council</t>
  </si>
  <si>
    <t>Current Year Base</t>
  </si>
  <si>
    <t>Rates.plus.current.account</t>
  </si>
  <si>
    <t>Sum of Rates Alloc = Total Rates</t>
  </si>
  <si>
    <t>Total Government Subsidies</t>
  </si>
  <si>
    <t>Grants - Transport Operators</t>
  </si>
  <si>
    <t>0</t>
  </si>
  <si>
    <t>Ferry</t>
  </si>
  <si>
    <t>W.560/1415/10</t>
  </si>
  <si>
    <t>Kapiti Plus</t>
  </si>
  <si>
    <t>W.560/1420/10</t>
  </si>
  <si>
    <t>Wairarapa Plus</t>
  </si>
  <si>
    <t>W.560/1430/10</t>
  </si>
  <si>
    <t>Hutt Plus</t>
  </si>
  <si>
    <t>W.560/1600/1</t>
  </si>
  <si>
    <t>W.154/28/36</t>
  </si>
  <si>
    <t>IntLoan0708 Capex - Bus Shelters</t>
  </si>
  <si>
    <t>Essbase - Contracts</t>
  </si>
  <si>
    <t>Essbase - Inflation</t>
  </si>
  <si>
    <t>FAR</t>
  </si>
  <si>
    <t>Rates</t>
  </si>
  <si>
    <t>Contract PA - Cost</t>
  </si>
  <si>
    <t>Inflation - Cost</t>
  </si>
  <si>
    <t>Trolley Bus Operational</t>
  </si>
  <si>
    <t>Trolley Bus Infrastructure Renewal</t>
  </si>
  <si>
    <t>Spread Adjustments</t>
  </si>
  <si>
    <t>Subtotal - Adjustments</t>
  </si>
  <si>
    <t>Rec to Essbase</t>
  </si>
  <si>
    <t>W.560/6100/5</t>
  </si>
  <si>
    <t>TM Otaki Contracted Services</t>
  </si>
  <si>
    <t>W.560/6910/1</t>
  </si>
  <si>
    <t>W.560/6910/3</t>
  </si>
  <si>
    <t>TM Independant Assessment</t>
  </si>
  <si>
    <t>v Masterton Town 2007</t>
  </si>
  <si>
    <t>v Greytown - Woodside 2007</t>
  </si>
  <si>
    <t>v Masterton-Featherston-Martinborough (weekdays)</t>
  </si>
  <si>
    <t>v Martinborough Train Connection 2007</t>
  </si>
  <si>
    <t>MN505</t>
  </si>
  <si>
    <t>v Masterton-Martinborough (weekends) 2007</t>
  </si>
  <si>
    <t>K14203</t>
  </si>
  <si>
    <t>MN200</t>
  </si>
  <si>
    <t>v.Paekakariki/Raumati South/Otaihanga</t>
  </si>
  <si>
    <t>k23009</t>
  </si>
  <si>
    <t>TM - Systems Operating Costs</t>
  </si>
  <si>
    <t>Fare Revenue - Greytown Woodside</t>
  </si>
  <si>
    <t>Fare Revenue</t>
  </si>
  <si>
    <t>k14103</t>
  </si>
  <si>
    <t>Ordinary Contract</t>
  </si>
  <si>
    <t>PT Rates</t>
  </si>
  <si>
    <t>School Contract</t>
  </si>
  <si>
    <t>Total including inflation</t>
  </si>
  <si>
    <t>W.562/5002/2</t>
  </si>
  <si>
    <t>W.562/5002/3</t>
  </si>
  <si>
    <t>W.562/5008/1</t>
  </si>
  <si>
    <t>PT Plan Revision</t>
  </si>
  <si>
    <t>Disability Programme</t>
  </si>
  <si>
    <t xml:space="preserve">The worksheets at the end of the work book (Blue Tabs) contain the key statistical data for allocating out rail costs per trip basis and the allocation of bus services to rail. </t>
  </si>
  <si>
    <t>Worksheet</t>
  </si>
  <si>
    <t>Status</t>
  </si>
  <si>
    <t>Base Data Buses</t>
  </si>
  <si>
    <t>Policy Allocations</t>
  </si>
  <si>
    <t>Base Data Rail</t>
  </si>
  <si>
    <t>Total Rates Allocated = Essbase</t>
  </si>
  <si>
    <t>Rates allocation</t>
  </si>
  <si>
    <t>Summary Costs</t>
  </si>
  <si>
    <t>Comparison</t>
  </si>
  <si>
    <t>Total Comparison = Total Rates</t>
  </si>
  <si>
    <t>Instructions</t>
  </si>
  <si>
    <t>Essbase Download</t>
  </si>
  <si>
    <t>A . At the start of each year:</t>
  </si>
  <si>
    <t>B . To update and balance the rates model:</t>
  </si>
  <si>
    <t>1. Go to the Essbase download worksheet and retrieve the current years budget numbers from the budget model. Review the check lines above.</t>
  </si>
  <si>
    <t>Unit.TR02</t>
  </si>
  <si>
    <t>Model Overview</t>
  </si>
  <si>
    <t>HV421</t>
  </si>
  <si>
    <t>PK770</t>
  </si>
  <si>
    <t>Timetable - Displays Cases</t>
  </si>
  <si>
    <t>Promotion - General</t>
  </si>
  <si>
    <t>Promotion - New/Changes in Services</t>
  </si>
  <si>
    <t>Promotion - Website</t>
  </si>
  <si>
    <t>Brand - Research/Dev/Design</t>
  </si>
  <si>
    <t>Brand - Signage/Graphics</t>
  </si>
  <si>
    <t>Brand - Promotion</t>
  </si>
  <si>
    <t>Marketing Research</t>
  </si>
  <si>
    <t>CC.56001-01</t>
  </si>
  <si>
    <t>CC.56010-01</t>
  </si>
  <si>
    <t>CC.56020-01</t>
  </si>
  <si>
    <t>CC.56201-01</t>
  </si>
  <si>
    <t>Non Specific Bus</t>
  </si>
  <si>
    <t>W.560/1510/90</t>
  </si>
  <si>
    <t>W.560/8290/90</t>
  </si>
  <si>
    <t>k12118</t>
  </si>
  <si>
    <t>k12119</t>
  </si>
  <si>
    <t>k12120</t>
  </si>
  <si>
    <t>k12121</t>
  </si>
  <si>
    <t>k12122</t>
  </si>
  <si>
    <t>k12123</t>
  </si>
  <si>
    <t>k12113</t>
  </si>
  <si>
    <t>k12114</t>
  </si>
  <si>
    <t>k16005</t>
  </si>
  <si>
    <t>Otaki Services 2005</t>
  </si>
  <si>
    <t>v.Upper Hutt Schools 2006</t>
  </si>
  <si>
    <t xml:space="preserve">v.Wainuiomata Local Schools </t>
  </si>
  <si>
    <t>k22009</t>
  </si>
  <si>
    <t>Trolley-Contract</t>
  </si>
  <si>
    <t>Trolley-Improvements</t>
  </si>
  <si>
    <t>Wgtn Central - Contract</t>
  </si>
  <si>
    <t>2 In the Summary Costs worksheet copy and paste values for  "This years" rates to "Last years" . Change headings.</t>
  </si>
  <si>
    <t>1 In the Instructions worksheet change the heading to reflect proposed or final rates and the year. Save file in new directory.</t>
  </si>
  <si>
    <t>3. In the Rate Summary worksheet copy and paste values for  "This years" rates to "last years". Change headings.</t>
  </si>
  <si>
    <t>Intra-District</t>
  </si>
  <si>
    <t>Inter-District Origin</t>
  </si>
  <si>
    <t>Inter-District Destination</t>
  </si>
  <si>
    <t>Plan, Info, Network &amp; Admin</t>
  </si>
  <si>
    <t>Trips Origin</t>
  </si>
  <si>
    <t>Wgtn Central - Improvements</t>
  </si>
  <si>
    <t>Wgtn North - Contract</t>
  </si>
  <si>
    <t>Wgtn North - Improvements</t>
  </si>
  <si>
    <t>Porirua - Contract</t>
  </si>
  <si>
    <t>Porirua - Improvements</t>
  </si>
  <si>
    <t>Kapiti - Contract</t>
  </si>
  <si>
    <t>Kapiti - Improvements</t>
  </si>
  <si>
    <t>Wairarapa - Contract</t>
  </si>
  <si>
    <t>Hutt Valley - Contract</t>
  </si>
  <si>
    <t>Hutt Valley - Improvements</t>
  </si>
  <si>
    <t>Upper Hutt - Contract</t>
  </si>
  <si>
    <t>Eastbourne - Contract</t>
  </si>
  <si>
    <t>Wainuiomata - Contract</t>
  </si>
  <si>
    <t>Wainuiomata - Other Adjusts</t>
  </si>
  <si>
    <t>Wgtn Central - CFR</t>
  </si>
  <si>
    <t>Wgtn North - CFR</t>
  </si>
  <si>
    <t>Porirua - CFR</t>
  </si>
  <si>
    <t>Kapiti - CFR</t>
  </si>
  <si>
    <t>Wairarapa - CFR</t>
  </si>
  <si>
    <t>Hutt Valley - CFR</t>
  </si>
  <si>
    <t>Upper Hutt - CFR</t>
  </si>
  <si>
    <t>Eastbourne - CFR</t>
  </si>
  <si>
    <t>Wainuiomata - CFR</t>
  </si>
  <si>
    <t>Contract Tendering</t>
  </si>
  <si>
    <t>Total Trips Model</t>
  </si>
  <si>
    <t>3. Copy in the Contracts and Contracts Inf sheets used in the Essbase Budget updates. In the 'Base Data-Buses' sheet vlookup this information to populate the sheet.</t>
  </si>
  <si>
    <t>4. In the Base Data-Buses sheet review all the apportionments between districts. Adjust if necessary.</t>
  </si>
  <si>
    <t>6. If bus services connect with rail, a portion is allocated to rail services (i.e. is a "Yes" in column W). All school services are "No" and 100 % is allocated to TA's.</t>
  </si>
  <si>
    <t>Check totals</t>
  </si>
  <si>
    <t>TM Hoists Maintenance</t>
  </si>
  <si>
    <t>TM Hoists - New/Replace</t>
  </si>
  <si>
    <t>Network wide infrastructure</t>
  </si>
  <si>
    <t>Bus-rail connections</t>
  </si>
  <si>
    <t>Rail operations and maintenance</t>
  </si>
  <si>
    <t>Rail infrastructure (capex &amp; loans)</t>
  </si>
  <si>
    <t>Operator</t>
  </si>
  <si>
    <t>Contract Number</t>
  </si>
  <si>
    <t>Description</t>
  </si>
  <si>
    <t>Train</t>
  </si>
  <si>
    <t>Check</t>
  </si>
  <si>
    <t>HCC</t>
  </si>
  <si>
    <t>UHCC</t>
  </si>
  <si>
    <t>WCC</t>
  </si>
  <si>
    <t>KCDC</t>
  </si>
  <si>
    <t>SWDC</t>
  </si>
  <si>
    <t>Carterton</t>
  </si>
  <si>
    <t>Masterton</t>
  </si>
  <si>
    <t>HV110</t>
  </si>
  <si>
    <t>Yes</t>
  </si>
  <si>
    <t>HV121</t>
  </si>
  <si>
    <t>HV130</t>
  </si>
  <si>
    <t>HV150</t>
  </si>
  <si>
    <t>HV160</t>
  </si>
  <si>
    <t>HV170</t>
  </si>
  <si>
    <t>Eastbourne</t>
  </si>
  <si>
    <t>No</t>
  </si>
  <si>
    <t>East by West</t>
  </si>
  <si>
    <t>HV466</t>
  </si>
  <si>
    <t>HV402/2</t>
  </si>
  <si>
    <t>WN528</t>
  </si>
  <si>
    <t>WN714</t>
  </si>
  <si>
    <t>WN723</t>
  </si>
  <si>
    <t>WN843</t>
  </si>
  <si>
    <t>PK722</t>
  </si>
  <si>
    <t>PK730</t>
  </si>
  <si>
    <t>PK759</t>
  </si>
  <si>
    <t>PK821</t>
  </si>
  <si>
    <t>PK871</t>
  </si>
  <si>
    <t>WN550</t>
  </si>
  <si>
    <t>WN555</t>
  </si>
  <si>
    <t>After Midnight N5 Wellington City</t>
  </si>
  <si>
    <t>PK420</t>
  </si>
  <si>
    <t>PK459</t>
  </si>
  <si>
    <t>PK474</t>
  </si>
  <si>
    <t>WN900</t>
  </si>
  <si>
    <t>T/8/2/3</t>
  </si>
  <si>
    <t>PK875</t>
  </si>
  <si>
    <t>Workplace Area Unit</t>
  </si>
  <si>
    <t xml:space="preserve">Area Unit of Usual Residence </t>
  </si>
  <si>
    <t>Porirua</t>
  </si>
  <si>
    <t>Wairarapa</t>
  </si>
  <si>
    <t>Total</t>
  </si>
  <si>
    <t>Area</t>
  </si>
  <si>
    <t>Contract Name</t>
  </si>
  <si>
    <t>TLA Populations</t>
  </si>
  <si>
    <t>NEW Census Data @</t>
  </si>
  <si>
    <t>Total Wairarapa</t>
  </si>
  <si>
    <t>Total Trips outside own TA</t>
  </si>
  <si>
    <t>Total Trips into own TA</t>
  </si>
  <si>
    <t>Days Bay Ferry</t>
  </si>
  <si>
    <t>V:Days Bay Ferry</t>
  </si>
  <si>
    <t>V:Addition of four return sailings between Queens Warf and Days Bay</t>
  </si>
  <si>
    <t>WN520</t>
  </si>
  <si>
    <t>WN529</t>
  </si>
  <si>
    <t>$000's</t>
  </si>
  <si>
    <t>WN400</t>
  </si>
  <si>
    <t>WN401</t>
  </si>
  <si>
    <t>WN402</t>
  </si>
  <si>
    <t>WN403</t>
  </si>
  <si>
    <t xml:space="preserve">Average Transport Rates </t>
  </si>
  <si>
    <t>WN404</t>
  </si>
  <si>
    <t>Churton Park, Johnsonvill West, Broadmedows (includes WN452 school services)</t>
  </si>
  <si>
    <t>KS Churton Park, Johnsonvill West, Broadmedows (includes WN452 school services)</t>
  </si>
  <si>
    <t>V:Churton Park, Johnsonvill West, Broadmedows (includes WN452 school services)</t>
  </si>
  <si>
    <t xml:space="preserve">Newlands, Paparangi, Grenada Village, Woodridge NEW CONTRACT </t>
  </si>
  <si>
    <t>KS Newlands, Paparangi, Grenada Village, Woodridge - New Contract</t>
  </si>
  <si>
    <t>V:to commence first trip R58 from Kentwood drive</t>
  </si>
  <si>
    <t>WN598</t>
  </si>
  <si>
    <t>V:to add R57's and 5 min AM/PM peak frequency, Mon-Fri</t>
  </si>
  <si>
    <t>V:deliting one trip to add V:Newlands, Paparangi - ADD 17.04 trip ex Courtenay Place</t>
  </si>
  <si>
    <t>V:to add 14.15 &amp; 14.45 R54in ex Cortenay Plce</t>
  </si>
  <si>
    <t>V:to split Raroa Intermediate School route into 2, am&amp;pm</t>
  </si>
  <si>
    <t>V:to change 17.00 R54 ex Courtenay Place to 16.58 &amp; add a new 17.04 R54 trip ex Courtnay Place, Mon - Fri</t>
  </si>
  <si>
    <t>Change</t>
  </si>
  <si>
    <t>V:to change 16.15 R54 to 16.10, add a new 16.20 R54 trip ex Courtenay Place and change the 17.25 R53 ex Courtenay Place to 17.36, Mon - Fri</t>
  </si>
  <si>
    <t>V:Newlands, Paparangi - ADD 17.04 trip ex Courtenay Place</t>
  </si>
  <si>
    <t>V:to delete R55 &amp; R58, etc</t>
  </si>
  <si>
    <t>V:to adjust evening peak trips and times, add 2xR57's and 3xR55T's, Mon - Fri</t>
  </si>
  <si>
    <t xml:space="preserve">V:to increase AM peak frequency and add 4*R57 AM trips to Courtenay Place, Mon - Fri </t>
  </si>
  <si>
    <t>Subtotal</t>
  </si>
  <si>
    <t>Adjustment to balance</t>
  </si>
  <si>
    <t>Kapiti Schools 2002(Backdate to Sept 02)</t>
  </si>
  <si>
    <t>Madge Coachlines</t>
  </si>
  <si>
    <t>HV453</t>
  </si>
  <si>
    <t>Eastbourne to Lower Hutt Local Schools</t>
  </si>
  <si>
    <t>HV461</t>
  </si>
  <si>
    <t>Social Component</t>
  </si>
  <si>
    <t>Net of Social</t>
  </si>
  <si>
    <t>South Wairarapa</t>
  </si>
  <si>
    <t>Upper Hutt</t>
  </si>
  <si>
    <t>Wellington</t>
  </si>
  <si>
    <t>Essbase</t>
  </si>
  <si>
    <t>Urban - Commerical</t>
  </si>
  <si>
    <t>Change from last years</t>
  </si>
  <si>
    <t>Rates Allocation</t>
  </si>
  <si>
    <t>Wellington Regional Council</t>
  </si>
  <si>
    <t>Rateable</t>
  </si>
  <si>
    <t>No. of Assessments</t>
  </si>
  <si>
    <t>Average Capital Value</t>
  </si>
  <si>
    <t>Capital Value</t>
  </si>
  <si>
    <t>$</t>
  </si>
  <si>
    <t>Wellington City</t>
  </si>
  <si>
    <t>CBD Business</t>
  </si>
  <si>
    <t>Business</t>
  </si>
  <si>
    <t>Residential</t>
  </si>
  <si>
    <t>Rural</t>
  </si>
  <si>
    <t xml:space="preserve">Lower Hutt City </t>
  </si>
  <si>
    <t>Upper Hutt City</t>
  </si>
  <si>
    <t xml:space="preserve">Porirua City </t>
  </si>
  <si>
    <t>Kapiti Coast District</t>
  </si>
  <si>
    <t>Urban</t>
  </si>
  <si>
    <t>Urban - Residential</t>
  </si>
  <si>
    <t>Masterton District</t>
  </si>
  <si>
    <t>Urban Ward</t>
  </si>
  <si>
    <t>Rural Ward</t>
  </si>
  <si>
    <t>Carterton District</t>
  </si>
  <si>
    <t>South Wairarapa District</t>
  </si>
  <si>
    <t>Tararua District</t>
  </si>
  <si>
    <t>Totals</t>
  </si>
  <si>
    <t>Shared Expenses</t>
  </si>
  <si>
    <t>Social</t>
  </si>
  <si>
    <t>Region Total - Commercial</t>
  </si>
  <si>
    <t xml:space="preserve">Region Total - Residential </t>
  </si>
  <si>
    <t>Region Total - Rural</t>
  </si>
  <si>
    <t>Kapiti</t>
  </si>
  <si>
    <t>W.560/0001/1</t>
  </si>
  <si>
    <t>W.560/0001/99</t>
  </si>
  <si>
    <t>W.560/1000/1</t>
  </si>
  <si>
    <t>W.560/1000/99</t>
  </si>
  <si>
    <t>W.560/1001/1</t>
  </si>
  <si>
    <t>W.560/1300/1</t>
  </si>
  <si>
    <t>W.560/1300/2</t>
  </si>
  <si>
    <t>W.560/1400/1</t>
  </si>
  <si>
    <t>W.560/1400/3</t>
  </si>
  <si>
    <t>Wgtn Central - Inflation</t>
  </si>
  <si>
    <t>W.560/1400/4</t>
  </si>
  <si>
    <t>PT Admin</t>
  </si>
  <si>
    <t>Bus Infrastructure &amp; Shelters</t>
  </si>
  <si>
    <t>Transport Reserve</t>
  </si>
  <si>
    <t>Total Rates Required for Bus</t>
  </si>
  <si>
    <t>W.560/1405/1</t>
  </si>
  <si>
    <t>W.560/1405/3</t>
  </si>
  <si>
    <t>Wgtn North - Inflation</t>
  </si>
  <si>
    <t>W.560/1405/4</t>
  </si>
  <si>
    <t>W.560/1410/1</t>
  </si>
  <si>
    <t>W.560/1410/3</t>
  </si>
  <si>
    <t>Porirua - Inflation</t>
  </si>
  <si>
    <t>W.560/1410/4</t>
  </si>
  <si>
    <t>W.560/1415/1</t>
  </si>
  <si>
    <t>W.560/1415/2</t>
  </si>
  <si>
    <t>W.560/1415/3</t>
  </si>
  <si>
    <t>Kapiti - Inflation</t>
  </si>
  <si>
    <t>W.560/1415/4</t>
  </si>
  <si>
    <t>W.560/1420/1</t>
  </si>
  <si>
    <t>W.560/1420/3</t>
  </si>
  <si>
    <t>Wairarapa - Inflation</t>
  </si>
  <si>
    <t>W.560/1420/4</t>
  </si>
  <si>
    <t>W.560/1430/1</t>
  </si>
  <si>
    <t>W.560/1430/3</t>
  </si>
  <si>
    <t>HuttValley - Inflation</t>
  </si>
  <si>
    <t>W.560/1430/4</t>
  </si>
  <si>
    <t>W.560/1432/1</t>
  </si>
  <si>
    <t>W.560/1432/3</t>
  </si>
  <si>
    <t>Upper Hutt - Inflation</t>
  </si>
  <si>
    <t>W.560/1432/4</t>
  </si>
  <si>
    <t>W.560/1434/1</t>
  </si>
  <si>
    <t>W.560/1434/3</t>
  </si>
  <si>
    <t>Eastbourne - Inflation</t>
  </si>
  <si>
    <t>W.560/1434/4</t>
  </si>
  <si>
    <t>W.560/1436/1</t>
  </si>
  <si>
    <t>W.560/1436/3</t>
  </si>
  <si>
    <t>Wainuiomata - Inflation</t>
  </si>
  <si>
    <t>W.560/1436/4</t>
  </si>
  <si>
    <t>W.560/1436/6</t>
  </si>
  <si>
    <t>W.560/2000/1</t>
  </si>
  <si>
    <t>W.560/2000/99</t>
  </si>
  <si>
    <t>W.560/2100/1/1</t>
  </si>
  <si>
    <t>Wellington Interchange Maintenance</t>
  </si>
  <si>
    <t>W.560/2100/1/2</t>
  </si>
  <si>
    <t>WCC Shelter Maintenance</t>
  </si>
  <si>
    <t>W.560/2810/90</t>
  </si>
  <si>
    <t>W.560/2900/90</t>
  </si>
  <si>
    <t>Infra Studies/Investigation</t>
  </si>
  <si>
    <t>Rail - Contract Payment</t>
  </si>
  <si>
    <t>W.560/1422/1</t>
  </si>
  <si>
    <t>Wairarapa Red Cross Service</t>
  </si>
  <si>
    <t>Trolley Bus - Infrastructure Contract (WCCL)</t>
  </si>
  <si>
    <t>W.560/2880/90</t>
  </si>
  <si>
    <t>Trolley Bus - Infrastructure Renewals</t>
  </si>
  <si>
    <t>W.560/9900/90</t>
  </si>
  <si>
    <t>W.560/6001/1</t>
  </si>
  <si>
    <t>TM Admin - Office</t>
  </si>
  <si>
    <t>W.560/6001/99</t>
  </si>
  <si>
    <t>TM Admin - O/heads</t>
  </si>
  <si>
    <t>W.560/6100/4</t>
  </si>
  <si>
    <t>TM Hoists Flat Fee Per Trip</t>
  </si>
  <si>
    <t>W.563/0100/1</t>
  </si>
  <si>
    <t>W.563/0100/99</t>
  </si>
  <si>
    <t>W.563/2000/1</t>
  </si>
  <si>
    <t>W.563/2002/1</t>
  </si>
  <si>
    <t>W.563/2002/2</t>
  </si>
  <si>
    <t>W.563/2003/1</t>
  </si>
  <si>
    <t>W.563/2003/2</t>
  </si>
  <si>
    <t>W.563/2003/3</t>
  </si>
  <si>
    <t>W.563/2004/1</t>
  </si>
  <si>
    <t>W.563/2004/2</t>
  </si>
  <si>
    <t>W.563/2004/3</t>
  </si>
  <si>
    <t>W.563/2005/1</t>
  </si>
  <si>
    <t>W.563/2000/99</t>
  </si>
  <si>
    <t>W.563/3000/1</t>
  </si>
  <si>
    <t>W.563/3000/99</t>
  </si>
  <si>
    <t>W.563/4000/1</t>
  </si>
  <si>
    <t>W.563/4000/2</t>
  </si>
  <si>
    <t>Service Centre - Telephone charges</t>
  </si>
  <si>
    <t>W.563/4000/99</t>
  </si>
  <si>
    <t>Copied from Rates File</t>
  </si>
  <si>
    <t>Matangi - Technical Support Services (Rotem)</t>
  </si>
  <si>
    <t>No. Assessments</t>
  </si>
  <si>
    <t>% Split</t>
  </si>
  <si>
    <t>Kapiti District</t>
  </si>
  <si>
    <t>Sth Wairarapa District</t>
  </si>
  <si>
    <t>W.560/2910/90</t>
  </si>
  <si>
    <t>CC.56021-01</t>
  </si>
  <si>
    <t>W.560/2809/1</t>
  </si>
  <si>
    <t>W.562/0100/1</t>
  </si>
  <si>
    <t>W.562/0100/99</t>
  </si>
  <si>
    <t>W.562/5000/99</t>
  </si>
  <si>
    <t>W.560/2200/1</t>
  </si>
  <si>
    <t>W.560/1400/21</t>
  </si>
  <si>
    <t>Wgtn Central - Fare clawback</t>
  </si>
  <si>
    <t>W.560/1405/21</t>
  </si>
  <si>
    <t>Wgtn North - Fare Clawback</t>
  </si>
  <si>
    <t>W.560/1410/21</t>
  </si>
  <si>
    <t>v.Khandallah Strathmore</t>
  </si>
  <si>
    <t xml:space="preserve">v.Owhiro Services </t>
  </si>
  <si>
    <t>k11074</t>
  </si>
  <si>
    <t>v.Green Route Supplementary</t>
  </si>
  <si>
    <t>WN512</t>
  </si>
  <si>
    <t xml:space="preserve">v.Campus Connection  </t>
  </si>
  <si>
    <t>k11058</t>
  </si>
  <si>
    <t>WN518</t>
  </si>
  <si>
    <t>v.Mount Victoria/Highbury</t>
  </si>
  <si>
    <t>k11059</t>
  </si>
  <si>
    <t>v.Wrights Hill-Vogeltown</t>
  </si>
  <si>
    <t>k11060</t>
  </si>
  <si>
    <t>WN521</t>
  </si>
  <si>
    <t>v.Miramar-Evans Bay</t>
  </si>
  <si>
    <t>k11061</t>
  </si>
  <si>
    <t>WN524</t>
  </si>
  <si>
    <t xml:space="preserve">v.Beacon Hill Shuttle </t>
  </si>
  <si>
    <t>k11062</t>
  </si>
  <si>
    <t>v.Seatoun Express 2002</t>
  </si>
  <si>
    <t>k11063</t>
  </si>
  <si>
    <t>WN530</t>
  </si>
  <si>
    <t>v.Miramar North Express 2002</t>
  </si>
  <si>
    <t>k11064</t>
  </si>
  <si>
    <t>WN531</t>
  </si>
  <si>
    <t>v.After Midnight Wellington City (N1 to N4) - NEW in Nov 04</t>
  </si>
  <si>
    <t>k11065</t>
  </si>
  <si>
    <t>v.Wilton-Kilbirnie</t>
  </si>
  <si>
    <t>k11066</t>
  </si>
  <si>
    <t>v.Mairangi-Southgate-Houghton Bay</t>
  </si>
  <si>
    <t>k11067</t>
  </si>
  <si>
    <t>v.Northern Suburbs Schools 2007</t>
  </si>
  <si>
    <t>k11068</t>
  </si>
  <si>
    <t>v.Western Suburbs Schools 2007</t>
  </si>
  <si>
    <t>v.Eastern Suburbs Schools 2007</t>
  </si>
  <si>
    <t>v.Southern Suburbs Schools 2007</t>
  </si>
  <si>
    <t>v.City School Connection 2007</t>
  </si>
  <si>
    <t>v. Wainuiomata North 2003</t>
  </si>
  <si>
    <t>v. Wainuiomata South 2003</t>
  </si>
  <si>
    <t>v. Wainuiomata Lower Hutt Schools</t>
  </si>
  <si>
    <t>K14200</t>
  </si>
  <si>
    <t>v.Eastbourne to Lower Hutt Local Schools</t>
  </si>
  <si>
    <t>k22007</t>
  </si>
  <si>
    <t>v.Otaihanga/Paekakariki/Raumati South</t>
  </si>
  <si>
    <t>Gross Cont</t>
  </si>
  <si>
    <t xml:space="preserve">NZ Red Cross </t>
  </si>
  <si>
    <t>V-After Midnight Hutt Valley Routes</t>
  </si>
  <si>
    <t>k12101</t>
  </si>
  <si>
    <t>New</t>
  </si>
  <si>
    <t>V-Valley Hights/ Gracefield</t>
  </si>
  <si>
    <t>V-Naenae - Petone</t>
  </si>
  <si>
    <t>k12103</t>
  </si>
  <si>
    <t>V-Western Hills</t>
  </si>
  <si>
    <t>V-Upper Hutt - Petone (Emerald Hill Only)</t>
  </si>
  <si>
    <t>V-Totara Park 2006</t>
  </si>
  <si>
    <t>k12106</t>
  </si>
  <si>
    <t>V-Te Marua 2006</t>
  </si>
  <si>
    <t>V-Poets Block 2006</t>
  </si>
  <si>
    <t>V-Pinehaven 2006</t>
  </si>
  <si>
    <t>k12109</t>
  </si>
  <si>
    <t>V-Stokes Valley to LH Schools</t>
  </si>
  <si>
    <t>k12110</t>
  </si>
  <si>
    <t>V-Western Hutt Suburbs to LH schools</t>
  </si>
  <si>
    <t>k12111</t>
  </si>
  <si>
    <t xml:space="preserve">RCV </t>
  </si>
  <si>
    <t xml:space="preserve">ECV </t>
  </si>
  <si>
    <t xml:space="preserve">Total Mobility ECV </t>
  </si>
  <si>
    <t xml:space="preserve">Social ECV </t>
  </si>
  <si>
    <t xml:space="preserve">Congestion ECV </t>
  </si>
  <si>
    <t>CC.56002-01</t>
  </si>
  <si>
    <t>W.560/0200/01</t>
  </si>
  <si>
    <t>W.560/0200/99</t>
  </si>
  <si>
    <t>EMU Project - Overheads</t>
  </si>
  <si>
    <t>W.560/9000/99</t>
  </si>
  <si>
    <t>k11057</t>
  </si>
  <si>
    <t>k11073</t>
  </si>
  <si>
    <t>Projected Fare Clawback</t>
  </si>
  <si>
    <t>Porirua - Fare clawback</t>
  </si>
  <si>
    <t>W.560/1415/21</t>
  </si>
  <si>
    <t>Kapiti - Fare clawback</t>
  </si>
  <si>
    <t>W.560/1420/21</t>
  </si>
  <si>
    <t>Wairarapa - Fare clawback</t>
  </si>
  <si>
    <t>W.560/1430/21</t>
  </si>
  <si>
    <t>Hutt Valley - Fare Clawback</t>
  </si>
  <si>
    <t>W.560/1432/21</t>
  </si>
  <si>
    <t>SuperGold Card - Bus and Ferry</t>
  </si>
  <si>
    <t>Train Maintenance - EMU Depot</t>
  </si>
  <si>
    <t>Rail Asset Insurance.</t>
  </si>
  <si>
    <t>Station Contract Maintenance</t>
  </si>
  <si>
    <t>Security - CCTV Network charges</t>
  </si>
  <si>
    <t>Security - Metro Rail</t>
  </si>
  <si>
    <t>Rail Strategy Studies/Investigation</t>
  </si>
  <si>
    <t>AMP Update - Rail Assets</t>
  </si>
  <si>
    <t>TM Subsidy - Independent</t>
  </si>
  <si>
    <t>TM Subsidy - Supported</t>
  </si>
  <si>
    <t>GWRL Admin Charges - Rail Operations</t>
  </si>
  <si>
    <t>PT Metlink Public transport network Planning</t>
  </si>
  <si>
    <t>W.560/1002/3</t>
  </si>
  <si>
    <t>Trolley Bus Review</t>
  </si>
  <si>
    <t>W.154/49/2/1</t>
  </si>
  <si>
    <t>W.154/49/2/1 Capex - Bus Shelters</t>
  </si>
  <si>
    <t>W.154/49/2/4</t>
  </si>
  <si>
    <t>W.154/49/2/4 Trolley Bus - Infrastructure Renewals</t>
  </si>
  <si>
    <t>W.560/3000/1</t>
  </si>
  <si>
    <t>Bus &amp; Ferry Serv Design - Office</t>
  </si>
  <si>
    <t>CC.56050-01</t>
  </si>
  <si>
    <t>Bus &amp; Ferry Commercial Team CC</t>
  </si>
  <si>
    <t>W.560/5000/99</t>
  </si>
  <si>
    <t>Bus and Ferry Commercial - O/Heads</t>
  </si>
  <si>
    <t>CC.56090-01</t>
  </si>
  <si>
    <t>W.560/9900/20</t>
  </si>
  <si>
    <t>Upper Hutt Station &amp; Investigation</t>
  </si>
  <si>
    <t>W.564/2110/4</t>
  </si>
  <si>
    <t>Rail - Network Performance Fees</t>
  </si>
  <si>
    <t>W.564/2120/1</t>
  </si>
  <si>
    <t>SuperGold Card - Rail</t>
  </si>
  <si>
    <t>W.564/2130/1</t>
  </si>
  <si>
    <t>W.560/8000/5</t>
  </si>
  <si>
    <t>GWRL Admin Charges - Rail Infrastucture</t>
  </si>
  <si>
    <t>W.560/8120/2</t>
  </si>
  <si>
    <t>Station Cleaning &amp; Minor Maintenance</t>
  </si>
  <si>
    <t>W.560/8120/3</t>
  </si>
  <si>
    <t>Stations WOF. CCC, Fire Monitor</t>
  </si>
  <si>
    <t>W.560/8130/5</t>
  </si>
  <si>
    <t>W.560/8200/7</t>
  </si>
  <si>
    <t>Matangi Fleet Lease</t>
  </si>
  <si>
    <t>W.560/8200/8</t>
  </si>
  <si>
    <t>GWRL Matangi Fleet Lease</t>
  </si>
  <si>
    <t>W.560/8280/90</t>
  </si>
  <si>
    <t>W.560/8542/90</t>
  </si>
  <si>
    <t>Storage of Ganz Mavag</t>
  </si>
  <si>
    <t>W.560/8170/1</t>
  </si>
  <si>
    <t>EMU Depot - Building Maintenance</t>
  </si>
  <si>
    <t>W.560/8170/2</t>
  </si>
  <si>
    <t>EMU Depot - WOF, CCC, Fire monitor</t>
  </si>
  <si>
    <t>560/1400</t>
  </si>
  <si>
    <t>560/1430</t>
  </si>
  <si>
    <t>v. After Midnight Hutt Valley Routes</t>
  </si>
  <si>
    <t>v. Naenae - Petone</t>
  </si>
  <si>
    <t>560/1432</t>
  </si>
  <si>
    <t>v. Totara Park 2006</t>
  </si>
  <si>
    <t>v. Pinehaven 2006</t>
  </si>
  <si>
    <t>v. Stokes Valley to LH Schools</t>
  </si>
  <si>
    <t>v. Western Hutt Suburbs to LH schools</t>
  </si>
  <si>
    <t>560/1436</t>
  </si>
  <si>
    <t>v. Valley Hights/ Gracefield</t>
  </si>
  <si>
    <t>v. Western Hills</t>
  </si>
  <si>
    <t>v. Upper Hutt - Petone (Emerald Hill only)</t>
  </si>
  <si>
    <t>v. Te Marua 2006</t>
  </si>
  <si>
    <t>v. Poets Block 2006</t>
  </si>
  <si>
    <t>560/1434</t>
  </si>
  <si>
    <t>560/1201</t>
  </si>
  <si>
    <t>V:Addition of four return sailings between Queens Wharf and Days Bay</t>
  </si>
  <si>
    <t>560/1415</t>
  </si>
  <si>
    <t>v. Otaki Services 2005</t>
  </si>
  <si>
    <t>560/1410</t>
  </si>
  <si>
    <t>v. After Midnight Porirua Basin</t>
  </si>
  <si>
    <t>v. Sievers Grove / Elsdon</t>
  </si>
  <si>
    <t>v. Ascot Park / Titahi Bay</t>
  </si>
  <si>
    <t>560/1405</t>
  </si>
  <si>
    <t>v. Johnsonville / Porirua</t>
  </si>
  <si>
    <t xml:space="preserve">v. Whitby / Paremata / Porirua </t>
  </si>
  <si>
    <t xml:space="preserve">v. Porirua East Schools </t>
  </si>
  <si>
    <t>v. Grenada North Schools</t>
  </si>
  <si>
    <t xml:space="preserve">Fare Revenue - Waikanae/Otaki Combo </t>
  </si>
  <si>
    <t>560/1420</t>
  </si>
  <si>
    <t>560/1422</t>
  </si>
  <si>
    <t>2014/15 Rateable Capital Value $</t>
  </si>
  <si>
    <t>Rate 2014/15</t>
  </si>
  <si>
    <t>2014/15</t>
  </si>
  <si>
    <t>5. In the RCV worksheet copy and paste values for  "This years" rates to "Last years". Change headings.</t>
  </si>
  <si>
    <t>RCV - Check to Last Year</t>
  </si>
  <si>
    <t>Hutt Valley Diesel Bus Contingency</t>
  </si>
  <si>
    <t>Contract Management Consulting</t>
  </si>
  <si>
    <t>Capex - Petone Land Purchase</t>
  </si>
  <si>
    <t>W.560/2100/20</t>
  </si>
  <si>
    <t>Regional Maint Contract - Admin &amp; Reporting</t>
  </si>
  <si>
    <t>W.154/49/8/31</t>
  </si>
  <si>
    <t>IntLoan12-13Capex - Bus Shelters New</t>
  </si>
  <si>
    <t>W.154/49/8/32</t>
  </si>
  <si>
    <t>IntLoan12-13Capex - Bus Shelters Like f</t>
  </si>
  <si>
    <t>W.154/49/8/33</t>
  </si>
  <si>
    <t>IntLoan12-13Trolley Bus - Infrastructur</t>
  </si>
  <si>
    <t>W.154/49/8/34</t>
  </si>
  <si>
    <t>IntLoan12-13Capex - Wgtn ReviewInterch</t>
  </si>
  <si>
    <t>W.560/2820/20</t>
  </si>
  <si>
    <t>Capex - Signage New</t>
  </si>
  <si>
    <t>W.560/2830/90</t>
  </si>
  <si>
    <t>Capex - Porirua Station like for Like Replace</t>
  </si>
  <si>
    <t>W.563/3002/3</t>
  </si>
  <si>
    <t>Transport Website Hosting</t>
  </si>
  <si>
    <t>W.563/3003/3</t>
  </si>
  <si>
    <t>W.563/3003/4</t>
  </si>
  <si>
    <t>JIRA Process Management</t>
  </si>
  <si>
    <t>v.Western Hills to Lower Hutt Schools</t>
  </si>
  <si>
    <t>Fare Revenue - Otaki Combo</t>
  </si>
  <si>
    <t>k16006</t>
  </si>
  <si>
    <t>W.562/5009/90</t>
  </si>
  <si>
    <t>Systems Support CC</t>
  </si>
  <si>
    <t>Bus &amp; Ferry Manager CC</t>
  </si>
  <si>
    <t>Matangi Project Admin CC</t>
  </si>
  <si>
    <t>Projects &amp; Planning Manager CC</t>
  </si>
  <si>
    <t>Rail Strategy &amp; Contracting CC</t>
  </si>
  <si>
    <t>Customer Services Manager CC</t>
  </si>
  <si>
    <t>Bus &amp; Ferry Service Delivery CC</t>
  </si>
  <si>
    <t>Bus &amp; Ferry Infrastructure CC</t>
  </si>
  <si>
    <t>Bus &amp; Ferry Infrastructure CAPEX CC</t>
  </si>
  <si>
    <t>Carpark Lighting and Maintenance.</t>
  </si>
  <si>
    <t>Complaints Solution Fees</t>
  </si>
  <si>
    <t>W.155/2014/03</t>
  </si>
  <si>
    <t>Rebudget 14/15 Integrated Ticketing Investigation</t>
  </si>
  <si>
    <t>W.560/8490/2</t>
  </si>
  <si>
    <t>W.155/2014/01</t>
  </si>
  <si>
    <t>Rebudget 14/15 Trolley Bus - Contract Investigation Funding</t>
  </si>
  <si>
    <t>W.560/2880/12</t>
  </si>
  <si>
    <t>Trolley Bus - Infra Renewals 2014/15</t>
  </si>
  <si>
    <t>v.Upper Hutt to Petone</t>
  </si>
  <si>
    <t>k12124</t>
  </si>
  <si>
    <t>HV110n</t>
  </si>
  <si>
    <t>v.Stokes Valley to Lower Hutt</t>
  </si>
  <si>
    <t>k12125</t>
  </si>
  <si>
    <t>HV120</t>
  </si>
  <si>
    <t>OLD Census data</t>
  </si>
  <si>
    <t>W.560/8490/1</t>
  </si>
  <si>
    <t>Capex - Tawa Land Purchase</t>
  </si>
  <si>
    <t>as at June 2014</t>
  </si>
  <si>
    <t>Source: Statistics New Zealand 2013 Census</t>
  </si>
  <si>
    <t>Final Public Transport Rate 2015/16</t>
  </si>
  <si>
    <t xml:space="preserve">Final Rates 2014/15 GST excl     </t>
  </si>
  <si>
    <t>Final Rate Cents in Dollar 2014/15 GST excl</t>
  </si>
  <si>
    <t xml:space="preserve">Proposed Rates 2015/16 GST excl     </t>
  </si>
  <si>
    <t>2015/16 Rateable Capital Value $</t>
  </si>
  <si>
    <t>Proposed Rate Cents in Dollar 2015/16 GST excl</t>
  </si>
  <si>
    <t>Proposed  2015/16</t>
  </si>
  <si>
    <t>Final  2014/15</t>
  </si>
  <si>
    <t>Compared to 2014/15</t>
  </si>
  <si>
    <t>Rate 2015/16</t>
  </si>
  <si>
    <t>2015/16</t>
  </si>
  <si>
    <t>1/09/2013</t>
  </si>
  <si>
    <t>Wairarapa - Fare Revenue</t>
  </si>
  <si>
    <t>Bus Rapid Transit Implementation</t>
  </si>
  <si>
    <t>W.560/1442/01</t>
  </si>
  <si>
    <t>Bikes on Buses - Investigation and Trial</t>
  </si>
  <si>
    <t>W.560/2160/20</t>
  </si>
  <si>
    <t>W.560/2100/30</t>
  </si>
  <si>
    <t>Bus Infra Maintenance New - LTP</t>
  </si>
  <si>
    <t>W.560/2100/31</t>
  </si>
  <si>
    <t>Bus Infra Maintenance Deferred - LTP</t>
  </si>
  <si>
    <t>Signage Maint &amp; Like for Like Replace - LTP</t>
  </si>
  <si>
    <t>W.560/2822/90</t>
  </si>
  <si>
    <t>W.560/2824/90</t>
  </si>
  <si>
    <t>Capex - Bus Infrastructure New - LTP</t>
  </si>
  <si>
    <t>Capex - Bus Infrastructure Like for Like - LTP</t>
  </si>
  <si>
    <t>W.560/2826/90</t>
  </si>
  <si>
    <t>Capex - Signage New - LTP</t>
  </si>
  <si>
    <t>W.560/2880/13</t>
  </si>
  <si>
    <t>Trolley Bus - Infra Renewals 2015/16</t>
  </si>
  <si>
    <t>W.560/6200/10</t>
  </si>
  <si>
    <t>TM Hoists - New/Replace - LTP</t>
  </si>
  <si>
    <t>CC.56202-01</t>
  </si>
  <si>
    <t>Integrated Fares and Ticketing CC</t>
  </si>
  <si>
    <t>W.562/0200/1</t>
  </si>
  <si>
    <t>Integrated Fares and Ticketing wbs</t>
  </si>
  <si>
    <t>W.564/8600/90</t>
  </si>
  <si>
    <t>Rolling Stock Studies/Investigation..</t>
  </si>
  <si>
    <t>W.564/8700/90</t>
  </si>
  <si>
    <t>Rail Infrastructure Studies/Investigation..</t>
  </si>
  <si>
    <t>Unit.56081</t>
  </si>
  <si>
    <t>Rail Asset Management CAPEX</t>
  </si>
  <si>
    <t>Unit.56251</t>
  </si>
  <si>
    <t>Projects and Planning Projects CAPEX</t>
  </si>
  <si>
    <t>Unit.56061</t>
  </si>
  <si>
    <t>Total Mobility CAPEX</t>
  </si>
  <si>
    <t>W.154/0049/10/46</t>
  </si>
  <si>
    <t>IntLoan13-14Capex - Bus Shelters New</t>
  </si>
  <si>
    <t>W.154/0049/10/47</t>
  </si>
  <si>
    <t>IntLoan13-14Capex - Bus Shelters Like f</t>
  </si>
  <si>
    <t>W.154/0049/10/48</t>
  </si>
  <si>
    <t>IntLoan13-14Trolley Bus - Infrastructur</t>
  </si>
  <si>
    <t>W.154/0049/10/49</t>
  </si>
  <si>
    <t>IntLoan13-14Trolley Bus - Renewals Busi</t>
  </si>
  <si>
    <t>W.154/0049/10/50</t>
  </si>
  <si>
    <t>IntLoan13-14Capex - Wgtn Review Interch</t>
  </si>
  <si>
    <t>W.154/0049/12/23</t>
  </si>
  <si>
    <t>IntLoan13-14Capex - Signage New</t>
  </si>
  <si>
    <t>W.560/2882/90</t>
  </si>
  <si>
    <t>Porirua Station Road - Like for Like</t>
  </si>
  <si>
    <t>Unit.56331</t>
  </si>
  <si>
    <t>Systems Support CAPEX</t>
  </si>
  <si>
    <t>v.Newlands, Paparangi, Grenada Village, Woodridge CV020</t>
  </si>
  <si>
    <t>k13063</t>
  </si>
  <si>
    <t xml:space="preserve">Fare Revenue - Whitby Combo </t>
  </si>
  <si>
    <t>k13060</t>
  </si>
  <si>
    <t>Other Adjustments</t>
  </si>
  <si>
    <t>Other Payts</t>
  </si>
  <si>
    <t>K14005</t>
  </si>
  <si>
    <t>k16007</t>
  </si>
  <si>
    <t>finished</t>
  </si>
  <si>
    <t>general provision - not wellington specific</t>
  </si>
  <si>
    <t>Total 15/16 Annual Inflation Payment</t>
  </si>
  <si>
    <t>k11068a</t>
  </si>
  <si>
    <t>k11075b</t>
  </si>
  <si>
    <t>as at Jan 2015</t>
  </si>
  <si>
    <t>Net Roll Value Capital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</si>
</sst>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_);[Red]\(&quot;$&quot;#,##0.00\)"/>
    <numFmt numFmtId="44" formatCode="_(&quot;$&quot;* #,##0.00_);_(&quot;$&quot;* \(#,##0.00\);_(&quot;$&quot;* &quot;-&quot;??_);_(@_)"/>
    <numFmt numFmtId="43" formatCode="_(* #,##0.00_);_(* \(#,##0.00\);_(* &quot;-&quot;??_);_(@_)"/>
    <numFmt numFmtId="164" formatCode="_(* #,##0_);_(* \(#,##0\);_(* &quot;-&quot;??_);_(@_)"/>
    <numFmt numFmtId="165" formatCode="_-* #,##0_-;\-* #,##0_-;_-* &quot;-&quot;??_-;_-@_-"/>
    <numFmt numFmtId="166" formatCode="0.0%"/>
    <numFmt numFmtId="167" formatCode="0.0000000000"/>
    <numFmt numFmtId="168" formatCode="#,##0_ ;[Red]\-#,##0\ "/>
    <numFmt numFmtId="169" formatCode="0_ ;[Red]\-0\ "/>
    <numFmt numFmtId="170" formatCode="#,##0.0"/>
    <numFmt numFmtId="171" formatCode="#,##0.0000000000"/>
    <numFmt numFmtId="172" formatCode="0.00%;[Red]\-0.00%"/>
    <numFmt numFmtId="173" formatCode="0.000%"/>
    <numFmt numFmtId="174" formatCode="0.00000_)"/>
    <numFmt numFmtId="175" formatCode="#,##0.00000_ ;[Red]\-#,##0.00000\ "/>
    <numFmt numFmtId="176" formatCode="#,##0.0_);[Red]\(#,##0.0\)"/>
    <numFmt numFmtId="177" formatCode="#,##0.0_);\(#,##0.0\)"/>
    <numFmt numFmtId="178" formatCode="mmm\-yy_)"/>
    <numFmt numFmtId="179" formatCode="0.0%;[Red]\-0.0%"/>
    <numFmt numFmtId="180" formatCode="0.0%;\(0.0%\)"/>
    <numFmt numFmtId="181" formatCode="m/d/yy_)"/>
    <numFmt numFmtId="182" formatCode="###0_)"/>
    <numFmt numFmtId="183" formatCode="#,##0.000_);\(#,##0.000\)"/>
    <numFmt numFmtId="184" formatCode="mmm\ yy;@"/>
    <numFmt numFmtId="185" formatCode="mmm\ yyyy;@"/>
    <numFmt numFmtId="186" formatCode="_-&quot;$&quot;* #,##0.0000_-;\-&quot;$&quot;* #,##0.0000_-;_-&quot;$&quot;* &quot;-&quot;??_-;_-@_-"/>
    <numFmt numFmtId="187" formatCode="#,##0.00_ ;[Red]\-#,##0.00\ "/>
    <numFmt numFmtId="188" formatCode="_(\$* #,##0.00_);_(\$* \(#,##0.00\);_(\$* \-??_);_(@_)"/>
    <numFmt numFmtId="189" formatCode="\$#,##0_);&quot;($&quot;#,##0\)"/>
    <numFmt numFmtId="190" formatCode="_-* #,##0\ _P_t_s_-;\-* #,##0\ _P_t_s_-;_-* &quot;- &quot;_P_t_s_-;_-@_-"/>
    <numFmt numFmtId="191" formatCode="_-* #,##0.00\ _P_t_s_-;\-* #,##0.00\ _P_t_s_-;_-* \-??\ _P_t_s_-;_-@_-"/>
    <numFmt numFmtId="192" formatCode="_-* #,##0&quot; Pts&quot;_-;\-* #,##0&quot; Pts&quot;_-;_-* &quot;- Pts&quot;_-;_-@_-"/>
    <numFmt numFmtId="193" formatCode="_-* #,##0.00&quot; Pts&quot;_-;\-* #,##0.00&quot; Pts&quot;_-;_-* \-??&quot; Pts&quot;_-;_-@_-"/>
    <numFmt numFmtId="194" formatCode="0.00_)"/>
  </numFmts>
  <fonts count="92">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name val="Arial"/>
      <family val="2"/>
    </font>
    <font>
      <sz val="10"/>
      <name val="MS Sans Serif"/>
      <family val="2"/>
    </font>
    <font>
      <sz val="8"/>
      <name val="MS Sans Serif"/>
      <family val="2"/>
    </font>
    <font>
      <sz val="10"/>
      <name val="Times New Roman"/>
      <family val="1"/>
    </font>
    <font>
      <b/>
      <sz val="10"/>
      <name val="Times New Roman"/>
      <family val="1"/>
    </font>
    <font>
      <b/>
      <sz val="11"/>
      <name val="Arial"/>
      <family val="2"/>
    </font>
    <font>
      <sz val="11"/>
      <name val="Arial"/>
      <family val="2"/>
    </font>
    <font>
      <sz val="9"/>
      <name val="Arial"/>
      <family val="2"/>
    </font>
    <font>
      <sz val="8"/>
      <name val="Arial"/>
      <family val="2"/>
    </font>
    <font>
      <b/>
      <sz val="9"/>
      <name val="Arial"/>
      <family val="2"/>
    </font>
    <font>
      <b/>
      <i/>
      <sz val="10"/>
      <name val="Arial"/>
      <family val="2"/>
    </font>
    <font>
      <b/>
      <sz val="8"/>
      <name val="Arial"/>
      <family val="2"/>
    </font>
    <font>
      <sz val="9"/>
      <color indexed="12"/>
      <name val="Arial"/>
      <family val="2"/>
    </font>
    <font>
      <b/>
      <sz val="14"/>
      <name val="Arial"/>
      <family val="2"/>
    </font>
    <font>
      <b/>
      <sz val="8"/>
      <color indexed="81"/>
      <name val="Tahoma"/>
      <family val="2"/>
    </font>
    <font>
      <sz val="8"/>
      <color indexed="81"/>
      <name val="Tahoma"/>
      <family val="2"/>
    </font>
    <font>
      <sz val="10"/>
      <color indexed="9"/>
      <name val="Arial"/>
      <family val="2"/>
    </font>
    <font>
      <b/>
      <sz val="10"/>
      <color indexed="10"/>
      <name val="Arial"/>
      <family val="2"/>
    </font>
    <font>
      <sz val="10"/>
      <name val="Wingdings"/>
      <charset val="2"/>
    </font>
    <font>
      <b/>
      <sz val="16"/>
      <name val="Wingdings"/>
      <charset val="2"/>
    </font>
    <font>
      <b/>
      <sz val="9"/>
      <color indexed="8"/>
      <name val="Arial"/>
      <family val="2"/>
    </font>
    <font>
      <sz val="9"/>
      <color indexed="8"/>
      <name val="Arial"/>
      <family val="2"/>
    </font>
    <font>
      <sz val="10"/>
      <color indexed="8"/>
      <name val="MS Sans Serif"/>
      <family val="2"/>
    </font>
    <font>
      <b/>
      <sz val="8"/>
      <name val="Arial"/>
      <family val="2"/>
    </font>
    <font>
      <sz val="10"/>
      <name val="Univers (WN)"/>
    </font>
    <font>
      <sz val="8"/>
      <name val="CG Times (E1)"/>
    </font>
    <font>
      <sz val="10"/>
      <name val="Helv"/>
    </font>
    <font>
      <sz val="8"/>
      <name val="Times New Roman"/>
      <family val="1"/>
    </font>
    <font>
      <shadow/>
      <sz val="8"/>
      <color indexed="12"/>
      <name val="Times New Roman"/>
      <family val="1"/>
    </font>
    <font>
      <sz val="8"/>
      <name val="Times New Roman"/>
      <family val="1"/>
    </font>
    <font>
      <sz val="10"/>
      <name val="Univers (E1)"/>
    </font>
    <font>
      <b/>
      <sz val="12"/>
      <name val="Univers (WN)"/>
    </font>
    <font>
      <b/>
      <sz val="10"/>
      <name val="Univers (WN)"/>
    </font>
    <font>
      <b/>
      <sz val="10"/>
      <name val="Arial"/>
      <family val="2"/>
    </font>
    <font>
      <i/>
      <sz val="10"/>
      <name val="Arial"/>
      <family val="2"/>
    </font>
    <font>
      <b/>
      <sz val="8"/>
      <color indexed="8"/>
      <name val="Arial"/>
      <family val="2"/>
    </font>
    <font>
      <sz val="8"/>
      <color indexed="8"/>
      <name val="Arial"/>
      <family val="2"/>
    </font>
    <font>
      <b/>
      <sz val="10"/>
      <color indexed="8"/>
      <name val="Arial"/>
      <family val="2"/>
    </font>
    <font>
      <sz val="10"/>
      <color indexed="8"/>
      <name val="Arial"/>
      <family val="2"/>
    </font>
    <font>
      <u/>
      <sz val="10"/>
      <name val="Arial"/>
      <family val="2"/>
    </font>
    <font>
      <b/>
      <sz val="9"/>
      <name val="Arial"/>
      <family val="2"/>
    </font>
    <font>
      <sz val="9"/>
      <name val="Times New Roman"/>
      <family val="1"/>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8"/>
      <name val="Lucida Sans"/>
      <family val="2"/>
    </font>
    <font>
      <b/>
      <sz val="10"/>
      <color indexed="56"/>
      <name val="Times New Roman"/>
      <family val="1"/>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20"/>
      <name val="Calibri"/>
      <family val="2"/>
    </font>
    <font>
      <sz val="11"/>
      <color rgb="FF9C0006"/>
      <name val="Calibri"/>
      <family val="2"/>
      <scheme val="minor"/>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0"/>
      <color indexed="12"/>
      <name val="Arial"/>
      <family val="2"/>
    </font>
    <font>
      <b/>
      <i/>
      <sz val="10"/>
      <name val="Times New Roman"/>
      <family val="1"/>
    </font>
    <font>
      <sz val="12"/>
      <name val="Arial MT"/>
      <family val="2"/>
    </font>
    <font>
      <u/>
      <sz val="10"/>
      <color indexed="20"/>
      <name val="Arial"/>
      <family val="2"/>
    </font>
    <font>
      <u/>
      <sz val="10"/>
      <color indexed="36"/>
      <name val="Arial"/>
      <family val="2"/>
    </font>
    <font>
      <b/>
      <i/>
      <sz val="16"/>
      <name val="Arial"/>
      <family val="2"/>
    </font>
    <font>
      <sz val="10"/>
      <color indexed="8"/>
      <name val="匠牥晩††††††††††"/>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8"/>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46"/>
        <bgColor indexed="64"/>
      </patternFill>
    </fill>
    <fill>
      <patternFill patternType="solid">
        <fgColor indexed="15"/>
        <bgColor indexed="64"/>
      </patternFill>
    </fill>
    <fill>
      <patternFill patternType="solid">
        <fgColor indexed="13"/>
        <bgColor indexed="8"/>
      </patternFill>
    </fill>
    <fill>
      <patternFill patternType="solid">
        <fgColor indexed="13"/>
        <bgColor indexed="64"/>
      </patternFill>
    </fill>
    <fill>
      <patternFill patternType="solid">
        <fgColor indexed="45"/>
        <bgColor indexed="64"/>
      </patternFill>
    </fill>
    <fill>
      <patternFill patternType="solid">
        <fgColor indexed="47"/>
        <bgColor indexed="8"/>
      </patternFill>
    </fill>
    <fill>
      <patternFill patternType="solid">
        <fgColor indexed="42"/>
        <bgColor indexed="8"/>
      </patternFill>
    </fill>
    <fill>
      <patternFill patternType="solid">
        <fgColor indexed="44"/>
        <bgColor indexed="8"/>
      </patternFill>
    </fill>
    <fill>
      <patternFill patternType="solid">
        <fgColor indexed="51"/>
        <bgColor indexed="8"/>
      </patternFill>
    </fill>
    <fill>
      <patternFill patternType="solid">
        <fgColor indexed="51"/>
        <bgColor indexed="64"/>
      </patternFill>
    </fill>
    <fill>
      <patternFill patternType="solid">
        <fgColor indexed="50"/>
        <bgColor indexed="8"/>
      </patternFill>
    </fill>
    <fill>
      <patternFill patternType="solid">
        <fgColor indexed="50"/>
        <bgColor indexed="64"/>
      </patternFill>
    </fill>
    <fill>
      <patternFill patternType="solid">
        <fgColor indexed="22"/>
        <bgColor indexed="8"/>
      </patternFill>
    </fill>
    <fill>
      <patternFill patternType="solid">
        <fgColor indexed="22"/>
        <bgColor indexed="64"/>
      </patternFill>
    </fill>
    <fill>
      <patternFill patternType="solid">
        <fgColor indexed="41"/>
        <bgColor indexed="64"/>
      </patternFill>
    </fill>
    <fill>
      <patternFill patternType="solid">
        <fgColor indexed="41"/>
        <bgColor indexed="8"/>
      </patternFill>
    </fill>
    <fill>
      <patternFill patternType="solid">
        <fgColor indexed="11"/>
        <bgColor indexed="64"/>
      </patternFill>
    </fill>
    <fill>
      <patternFill patternType="solid">
        <fgColor indexed="10"/>
        <bgColor indexed="64"/>
      </patternFill>
    </fill>
    <fill>
      <patternFill patternType="solid">
        <fgColor indexed="49"/>
        <bgColor indexed="8"/>
      </patternFill>
    </fill>
    <fill>
      <patternFill patternType="solid">
        <fgColor indexed="49"/>
        <bgColor indexed="64"/>
      </patternFill>
    </fill>
    <fill>
      <patternFill patternType="solid">
        <fgColor indexed="11"/>
        <bgColor indexed="8"/>
      </patternFill>
    </fill>
    <fill>
      <patternFill patternType="solid">
        <fgColor rgb="FFFFFF00"/>
        <bgColor indexed="64"/>
      </patternFill>
    </fill>
    <fill>
      <patternFill patternType="solid">
        <fgColor rgb="FFFFFFCC"/>
        <bgColor indexed="64"/>
      </patternFill>
    </fill>
    <fill>
      <patternFill patternType="solid">
        <fgColor rgb="FFFFC7CE"/>
      </patternFill>
    </fill>
    <fill>
      <patternFill patternType="solid">
        <fgColor rgb="FF66FFFF"/>
        <bgColor indexed="64"/>
      </patternFill>
    </fill>
    <fill>
      <patternFill patternType="solid">
        <fgColor rgb="FFFABF8F"/>
        <bgColor indexed="64"/>
      </patternFill>
    </fill>
    <fill>
      <patternFill patternType="solid">
        <fgColor rgb="FFFFCC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2"/>
        <bgColor indexed="31"/>
      </patternFill>
    </fill>
    <fill>
      <patternFill patternType="solid">
        <fgColor indexed="43"/>
        <bgColor indexed="34"/>
      </patternFill>
    </fill>
    <fill>
      <patternFill patternType="solid">
        <fgColor indexed="34"/>
        <bgColor indexed="43"/>
      </patternFill>
    </fill>
    <fill>
      <patternFill patternType="solid">
        <fgColor indexed="26"/>
        <bgColor indexed="9"/>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style="thin">
        <color indexed="62"/>
      </top>
      <bottom style="double">
        <color indexed="62"/>
      </bottom>
      <diagonal/>
    </border>
    <border>
      <left/>
      <right/>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1382">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3" borderId="0" applyNumberFormat="0" applyBorder="0" applyAlignment="0" applyProtection="0"/>
    <xf numFmtId="176" fontId="12" fillId="0" borderId="0" applyNumberFormat="0" applyFill="0" applyBorder="0" applyAlignment="0"/>
    <xf numFmtId="0" fontId="51" fillId="20" borderId="1" applyNumberFormat="0" applyAlignment="0" applyProtection="0"/>
    <xf numFmtId="0" fontId="52" fillId="21" borderId="2" applyNumberFormat="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0" fontId="8" fillId="0" borderId="0" applyFont="0" applyFill="0" applyBorder="0" applyAlignment="0" applyProtection="0"/>
    <xf numFmtId="40" fontId="8" fillId="0" borderId="0" applyFont="0" applyFill="0" applyBorder="0" applyAlignment="0" applyProtection="0"/>
    <xf numFmtId="40" fontId="8" fillId="0" borderId="0" applyFont="0" applyFill="0" applyBorder="0" applyAlignment="0" applyProtection="0"/>
    <xf numFmtId="185" fontId="6" fillId="0" borderId="0" applyFont="0" applyFill="0" applyBorder="0" applyAlignment="0" applyProtection="0"/>
    <xf numFmtId="44" fontId="7" fillId="0" borderId="0" applyFont="0" applyFill="0" applyBorder="0" applyAlignment="0" applyProtection="0"/>
    <xf numFmtId="186" fontId="6" fillId="0" borderId="0" applyFont="0" applyFill="0" applyBorder="0" applyAlignment="0" applyProtection="0"/>
    <xf numFmtId="181" fontId="31" fillId="0" borderId="0" applyFont="0" applyFill="0" applyBorder="0" applyAlignment="0" applyProtection="0"/>
    <xf numFmtId="177" fontId="32" fillId="0" borderId="0" applyFont="0" applyFill="0" applyBorder="0" applyAlignment="0" applyProtection="0">
      <protection locked="0"/>
    </xf>
    <xf numFmtId="39" fontId="33" fillId="0" borderId="0" applyFont="0" applyFill="0" applyBorder="0" applyAlignment="0" applyProtection="0"/>
    <xf numFmtId="183" fontId="34" fillId="0" borderId="0" applyFont="0" applyFill="0" applyBorder="0" applyAlignment="0"/>
    <xf numFmtId="0" fontId="53" fillId="0" borderId="0" applyNumberFormat="0" applyFill="0" applyBorder="0" applyAlignment="0" applyProtection="0"/>
    <xf numFmtId="0" fontId="54" fillId="4" borderId="0" applyNumberFormat="0" applyBorder="0" applyAlignment="0" applyProtection="0"/>
    <xf numFmtId="0" fontId="55" fillId="0" borderId="3" applyNumberFormat="0" applyFill="0" applyAlignment="0" applyProtection="0"/>
    <xf numFmtId="0" fontId="56" fillId="0" borderId="4" applyNumberFormat="0" applyFill="0" applyAlignment="0" applyProtection="0"/>
    <xf numFmtId="0" fontId="57" fillId="0" borderId="5" applyNumberFormat="0" applyFill="0" applyAlignment="0" applyProtection="0"/>
    <xf numFmtId="0" fontId="58" fillId="0" borderId="0" applyNumberFormat="0" applyFill="0" applyBorder="0" applyAlignment="0" applyProtection="0"/>
    <xf numFmtId="37" fontId="35" fillId="0" borderId="0" applyFill="0" applyBorder="0" applyAlignment="0">
      <protection locked="0"/>
    </xf>
    <xf numFmtId="166" fontId="35" fillId="0" borderId="6" applyFill="0" applyBorder="0" applyAlignment="0">
      <alignment horizontal="center"/>
      <protection locked="0"/>
    </xf>
    <xf numFmtId="177" fontId="35" fillId="0" borderId="0" applyFill="0" applyBorder="0" applyAlignment="0">
      <protection locked="0"/>
    </xf>
    <xf numFmtId="183" fontId="35" fillId="0" borderId="0" applyFill="0" applyBorder="0" applyAlignment="0" applyProtection="0">
      <protection locked="0"/>
    </xf>
    <xf numFmtId="0" fontId="59" fillId="0" borderId="7" applyNumberFormat="0" applyFill="0" applyAlignment="0" applyProtection="0"/>
    <xf numFmtId="178" fontId="31" fillId="0" borderId="0" applyFont="0" applyFill="0" applyBorder="0" applyAlignment="0" applyProtection="0"/>
    <xf numFmtId="0" fontId="60" fillId="22" borderId="0" applyNumberFormat="0" applyBorder="0" applyAlignment="0" applyProtection="0"/>
    <xf numFmtId="176" fontId="13" fillId="0" borderId="0" applyFill="0" applyBorder="0" applyAlignment="0"/>
    <xf numFmtId="0" fontId="7" fillId="0" borderId="0"/>
    <xf numFmtId="0" fontId="7" fillId="0" borderId="0"/>
    <xf numFmtId="0" fontId="7" fillId="0" borderId="0"/>
    <xf numFmtId="0" fontId="64" fillId="0" borderId="0">
      <alignment vertical="top"/>
    </xf>
    <xf numFmtId="0" fontId="7" fillId="0" borderId="0"/>
    <xf numFmtId="0" fontId="64" fillId="0" borderId="0">
      <alignment vertical="top"/>
    </xf>
    <xf numFmtId="0" fontId="64" fillId="0" borderId="0">
      <alignment vertical="top"/>
    </xf>
    <xf numFmtId="0" fontId="7"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7" fillId="0" borderId="0"/>
    <xf numFmtId="0" fontId="7" fillId="0" borderId="0"/>
    <xf numFmtId="0" fontId="7" fillId="0" borderId="0"/>
    <xf numFmtId="0" fontId="7" fillId="0" borderId="0"/>
    <xf numFmtId="0" fontId="7" fillId="0" borderId="0"/>
    <xf numFmtId="0" fontId="64" fillId="0" borderId="0">
      <alignment vertical="top"/>
    </xf>
    <xf numFmtId="0" fontId="7" fillId="0" borderId="0"/>
    <xf numFmtId="0" fontId="7" fillId="0" borderId="0"/>
    <xf numFmtId="0" fontId="7" fillId="0" borderId="0"/>
    <xf numFmtId="0" fontId="64" fillId="0" borderId="0">
      <alignment vertical="top"/>
    </xf>
    <xf numFmtId="0" fontId="7" fillId="0" borderId="0"/>
    <xf numFmtId="0" fontId="7" fillId="0" borderId="0"/>
    <xf numFmtId="0" fontId="7" fillId="0" borderId="0"/>
    <xf numFmtId="0" fontId="7" fillId="0" borderId="0"/>
    <xf numFmtId="0" fontId="7" fillId="0" borderId="0"/>
    <xf numFmtId="0" fontId="64" fillId="0" borderId="0">
      <alignment vertical="top"/>
    </xf>
    <xf numFmtId="0" fontId="3" fillId="0" borderId="0"/>
    <xf numFmtId="0" fontId="3" fillId="0" borderId="0"/>
    <xf numFmtId="0" fontId="8" fillId="0" borderId="0"/>
    <xf numFmtId="0" fontId="8" fillId="0" borderId="0"/>
    <xf numFmtId="0" fontId="8" fillId="0" borderId="0"/>
    <xf numFmtId="0" fontId="29" fillId="0" borderId="0"/>
    <xf numFmtId="0" fontId="29" fillId="0" borderId="0"/>
    <xf numFmtId="0" fontId="7" fillId="23" borderId="8" applyNumberFormat="0" applyFont="0" applyAlignment="0" applyProtection="0"/>
    <xf numFmtId="0" fontId="61" fillId="20" borderId="9" applyNumberFormat="0" applyAlignment="0" applyProtection="0"/>
    <xf numFmtId="9" fontId="3" fillId="0" borderId="0" applyFont="0" applyFill="0" applyBorder="0" applyAlignment="0" applyProtection="0"/>
    <xf numFmtId="180" fontId="36" fillId="0" borderId="10" applyFont="0" applyFill="0" applyBorder="0" applyAlignment="0" applyProtection="0">
      <alignment horizontal="right"/>
    </xf>
    <xf numFmtId="179" fontId="37" fillId="0" borderId="0" applyFont="0" applyFill="0" applyBorder="0" applyAlignment="0" applyProtection="0"/>
    <xf numFmtId="172" fontId="37" fillId="0" borderId="0" applyFont="0" applyFill="0" applyBorder="0" applyAlignment="0" applyProtection="0"/>
    <xf numFmtId="9" fontId="6" fillId="0" borderId="0" applyFont="0" applyFill="0" applyBorder="0" applyAlignment="0" applyProtection="0"/>
    <xf numFmtId="38" fontId="38" fillId="0" borderId="0" applyFill="0" applyBorder="0" applyAlignment="0" applyProtection="0"/>
    <xf numFmtId="179" fontId="39" fillId="0" borderId="0" applyFill="0" applyBorder="0" applyAlignment="0" applyProtection="0"/>
    <xf numFmtId="18" fontId="32" fillId="0" borderId="0" applyFont="0" applyFill="0" applyBorder="0" applyAlignment="0" applyProtection="0">
      <alignment horizontal="left"/>
    </xf>
    <xf numFmtId="0" fontId="62" fillId="0" borderId="0" applyNumberFormat="0" applyFill="0" applyBorder="0" applyAlignment="0" applyProtection="0"/>
    <xf numFmtId="0" fontId="44" fillId="0" borderId="11" applyNumberFormat="0" applyFill="0" applyAlignment="0" applyProtection="0"/>
    <xf numFmtId="10" fontId="37" fillId="0" borderId="12" applyNumberFormat="0" applyFont="0" applyFill="0" applyAlignment="0" applyProtection="0"/>
    <xf numFmtId="0" fontId="63" fillId="0" borderId="0" applyNumberFormat="0" applyFill="0" applyBorder="0" applyAlignment="0" applyProtection="0"/>
    <xf numFmtId="182" fontId="40" fillId="0" borderId="13" applyFont="0" applyFill="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1" fillId="5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2" fillId="20" borderId="1"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73" fillId="21" borderId="2" applyNumberForma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44" fontId="6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5"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2" fillId="0" borderId="0" applyFont="0" applyFill="0" applyBorder="0" applyAlignment="0" applyProtection="0"/>
    <xf numFmtId="183" fontId="34" fillId="0" borderId="0" applyFont="0" applyFill="0" applyBorder="0" applyAlignment="0"/>
    <xf numFmtId="183" fontId="34" fillId="0" borderId="0" applyFont="0" applyFill="0" applyBorder="0" applyAlignment="0"/>
    <xf numFmtId="183" fontId="34" fillId="0" borderId="0" applyFont="0" applyFill="0" applyBorder="0" applyAlignment="0"/>
    <xf numFmtId="183" fontId="34" fillId="0" borderId="0" applyFont="0" applyFill="0" applyBorder="0" applyAlignment="0"/>
    <xf numFmtId="183" fontId="34" fillId="0" borderId="0" applyFont="0" applyFill="0" applyBorder="0" applyAlignment="0"/>
    <xf numFmtId="183" fontId="34" fillId="0" borderId="0" applyFont="0" applyFill="0" applyBorder="0" applyAlignment="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7" fillId="0" borderId="4"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79" fillId="7" borderId="1" applyNumberFormat="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0" fillId="0" borderId="7" applyNumberFormat="0" applyFill="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3" fillId="0" borderId="0"/>
    <xf numFmtId="0" fontId="3" fillId="0" borderId="0"/>
    <xf numFmtId="0" fontId="3" fillId="0" borderId="0"/>
    <xf numFmtId="0" fontId="3" fillId="0" borderId="0"/>
    <xf numFmtId="0" fontId="3" fillId="0" borderId="0"/>
    <xf numFmtId="0" fontId="6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68" fillId="23" borderId="8" applyNumberFormat="0" applyFon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0" fontId="82" fillId="20" borderId="9" applyNumberFormat="0" applyAlignment="0" applyProtection="0"/>
    <xf numFmtId="180" fontId="34" fillId="0" borderId="10" applyFont="0" applyFill="0" applyBorder="0" applyAlignment="0" applyProtection="0">
      <alignment horizontal="right"/>
    </xf>
    <xf numFmtId="9" fontId="68" fillId="0" borderId="0" applyFont="0" applyFill="0" applyBorder="0" applyAlignment="0" applyProtection="0"/>
    <xf numFmtId="9" fontId="68"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82" fontId="6" fillId="0" borderId="13" applyFont="0" applyFill="0" applyBorder="0" applyAlignment="0" applyProtection="0"/>
    <xf numFmtId="182" fontId="6" fillId="0" borderId="13" applyFont="0" applyFill="0" applyBorder="0" applyAlignment="0" applyProtection="0"/>
    <xf numFmtId="182" fontId="6" fillId="0" borderId="13" applyFont="0" applyFill="0" applyBorder="0" applyAlignment="0" applyProtection="0"/>
    <xf numFmtId="182" fontId="6" fillId="0" borderId="13" applyFont="0" applyFill="0" applyBorder="0" applyAlignment="0" applyProtection="0"/>
    <xf numFmtId="182" fontId="6" fillId="0" borderId="13" applyFont="0" applyFill="0" applyBorder="0" applyAlignment="0" applyProtection="0"/>
    <xf numFmtId="182" fontId="6" fillId="0" borderId="13"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3" fillId="23"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applyFont="0" applyFill="0" applyBorder="0" applyAlignment="0" applyProtection="0"/>
    <xf numFmtId="0" fontId="85" fillId="0" borderId="0" applyNumberFormat="0" applyFill="0" applyBorder="0" applyAlignment="0" applyProtection="0"/>
    <xf numFmtId="0" fontId="45" fillId="0" borderId="0"/>
    <xf numFmtId="0" fontId="45" fillId="0" borderId="0"/>
    <xf numFmtId="0" fontId="45" fillId="0" borderId="0"/>
    <xf numFmtId="0" fontId="86" fillId="0" borderId="0">
      <alignment horizontal="left"/>
    </xf>
    <xf numFmtId="0" fontId="86" fillId="0" borderId="0">
      <alignment horizontal="left"/>
    </xf>
    <xf numFmtId="0" fontId="86" fillId="0" borderId="0">
      <alignment horizontal="left"/>
    </xf>
    <xf numFmtId="188" fontId="87"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7" borderId="0" applyNumberFormat="0" applyBorder="0" applyAlignment="0" applyProtection="0"/>
    <xf numFmtId="0" fontId="68" fillId="2"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8" borderId="0" applyNumberFormat="0" applyBorder="0" applyAlignment="0" applyProtection="0"/>
    <xf numFmtId="0" fontId="68" fillId="3"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59" borderId="0" applyNumberFormat="0" applyBorder="0" applyAlignment="0" applyProtection="0"/>
    <xf numFmtId="0" fontId="68" fillId="4"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0" borderId="0" applyNumberFormat="0" applyBorder="0" applyAlignment="0" applyProtection="0"/>
    <xf numFmtId="0" fontId="68" fillId="5"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1" borderId="0" applyNumberFormat="0" applyBorder="0" applyAlignment="0" applyProtection="0"/>
    <xf numFmtId="0" fontId="68" fillId="6"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2" borderId="0" applyNumberFormat="0" applyBorder="0" applyAlignment="0" applyProtection="0"/>
    <xf numFmtId="0" fontId="68" fillId="7"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3" borderId="0" applyNumberFormat="0" applyBorder="0" applyAlignment="0" applyProtection="0"/>
    <xf numFmtId="0" fontId="68" fillId="8"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4" borderId="0" applyNumberFormat="0" applyBorder="0" applyAlignment="0" applyProtection="0"/>
    <xf numFmtId="0" fontId="68" fillId="9"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5" borderId="0" applyNumberFormat="0" applyBorder="0" applyAlignment="0" applyProtection="0"/>
    <xf numFmtId="0" fontId="68" fillId="10"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6" borderId="0" applyNumberFormat="0" applyBorder="0" applyAlignment="0" applyProtection="0"/>
    <xf numFmtId="0" fontId="68" fillId="5"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7" borderId="0" applyNumberFormat="0" applyBorder="0" applyAlignment="0" applyProtection="0"/>
    <xf numFmtId="0" fontId="68" fillId="8"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1" fillId="68" borderId="0" applyNumberFormat="0" applyBorder="0" applyAlignment="0" applyProtection="0"/>
    <xf numFmtId="0" fontId="68" fillId="11" borderId="0" applyNumberFormat="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7" fillId="0" borderId="0" applyFill="0" applyBorder="0" applyAlignment="0" applyProtection="0"/>
    <xf numFmtId="44" fontId="1" fillId="0" borderId="0" applyFont="0" applyFill="0" applyBorder="0" applyAlignment="0" applyProtection="0"/>
    <xf numFmtId="185"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9" fontId="87" fillId="0" borderId="0" applyFill="0" applyBorder="0" applyAlignment="0" applyProtection="0"/>
    <xf numFmtId="2" fontId="87" fillId="0" borderId="0" applyFill="0" applyBorder="0" applyAlignment="0" applyProtection="0"/>
    <xf numFmtId="0" fontId="4" fillId="69" borderId="0" applyNumberFormat="0" applyBorder="0" applyAlignment="0" applyProtection="0"/>
    <xf numFmtId="9" fontId="87" fillId="70" borderId="0" applyBorder="0" applyAlignment="0">
      <protection locked="0"/>
    </xf>
    <xf numFmtId="166" fontId="87" fillId="70" borderId="0" applyBorder="0" applyAlignment="0">
      <protection locked="0"/>
    </xf>
    <xf numFmtId="10" fontId="87" fillId="70" borderId="0" applyBorder="0" applyAlignment="0">
      <protection locked="0"/>
    </xf>
    <xf numFmtId="3" fontId="87" fillId="71" borderId="0" applyBorder="0">
      <alignment horizontal="right"/>
      <protection locked="0"/>
    </xf>
    <xf numFmtId="170" fontId="87" fillId="71" borderId="0" applyBorder="0">
      <alignment horizontal="right"/>
      <protection locked="0"/>
    </xf>
    <xf numFmtId="4" fontId="87" fillId="71" borderId="0" applyBorder="0">
      <alignment horizontal="right"/>
      <protection locked="0"/>
    </xf>
    <xf numFmtId="0" fontId="4" fillId="72" borderId="0" applyNumberFormat="0" applyBorder="0" applyAlignment="0" applyProtection="0"/>
    <xf numFmtId="190" fontId="87" fillId="0" borderId="0" applyFill="0" applyBorder="0" applyAlignment="0" applyProtection="0"/>
    <xf numFmtId="191" fontId="87" fillId="0" borderId="0" applyFill="0" applyBorder="0" applyAlignment="0" applyProtection="0"/>
    <xf numFmtId="192" fontId="87" fillId="0" borderId="0" applyFill="0" applyBorder="0" applyAlignment="0" applyProtection="0"/>
    <xf numFmtId="193" fontId="87" fillId="0" borderId="0" applyFill="0" applyBorder="0" applyAlignment="0" applyProtection="0"/>
    <xf numFmtId="9" fontId="87" fillId="0" borderId="0" applyBorder="0">
      <alignment horizontal="right"/>
    </xf>
    <xf numFmtId="166" fontId="87" fillId="0" borderId="0" applyBorder="0">
      <alignment horizontal="right"/>
    </xf>
    <xf numFmtId="10" fontId="87" fillId="0" borderId="0" applyBorder="0">
      <alignment horizontal="right"/>
    </xf>
    <xf numFmtId="3" fontId="87" fillId="0" borderId="0" applyBorder="0">
      <alignment horizontal="right"/>
    </xf>
    <xf numFmtId="170" fontId="87" fillId="0" borderId="0" applyBorder="0" applyAlignment="0"/>
    <xf numFmtId="4" fontId="87" fillId="0" borderId="0" applyBorder="0">
      <alignment horizontal="right"/>
    </xf>
    <xf numFmtId="194" fontId="90" fillId="0" borderId="0"/>
    <xf numFmtId="0" fontId="1" fillId="0" borderId="0"/>
    <xf numFmtId="0" fontId="3" fillId="0" borderId="0"/>
    <xf numFmtId="0" fontId="91" fillId="0" borderId="0"/>
    <xf numFmtId="0" fontId="3" fillId="0" borderId="0"/>
    <xf numFmtId="0" fontId="91" fillId="0" borderId="0"/>
    <xf numFmtId="0" fontId="3" fillId="0" borderId="0"/>
    <xf numFmtId="0" fontId="91" fillId="0" borderId="0"/>
    <xf numFmtId="0" fontId="91" fillId="0" borderId="0"/>
    <xf numFmtId="0" fontId="3" fillId="0" borderId="0"/>
    <xf numFmtId="0" fontId="91" fillId="0" borderId="0"/>
    <xf numFmtId="0" fontId="3" fillId="0" borderId="0"/>
    <xf numFmtId="0" fontId="3" fillId="0" borderId="0"/>
    <xf numFmtId="0" fontId="3" fillId="0" borderId="0"/>
    <xf numFmtId="0" fontId="91" fillId="0" borderId="0"/>
    <xf numFmtId="0" fontId="91" fillId="0" borderId="0"/>
    <xf numFmtId="0" fontId="3" fillId="0" borderId="0"/>
    <xf numFmtId="0" fontId="91" fillId="0" borderId="0"/>
    <xf numFmtId="0" fontId="3" fillId="0" borderId="0"/>
    <xf numFmtId="0" fontId="3" fillId="0" borderId="0"/>
    <xf numFmtId="0" fontId="91" fillId="0" borderId="0"/>
    <xf numFmtId="0" fontId="91" fillId="0" borderId="0"/>
    <xf numFmtId="0" fontId="3" fillId="0" borderId="0"/>
    <xf numFmtId="0" fontId="91" fillId="0" borderId="0"/>
    <xf numFmtId="0" fontId="3" fillId="0" borderId="0"/>
    <xf numFmtId="0" fontId="3" fillId="0" borderId="0"/>
    <xf numFmtId="0" fontId="91" fillId="0" borderId="0"/>
    <xf numFmtId="0" fontId="91" fillId="0" borderId="0"/>
    <xf numFmtId="0" fontId="3" fillId="0" borderId="0"/>
    <xf numFmtId="0" fontId="91" fillId="0" borderId="0"/>
    <xf numFmtId="0" fontId="3" fillId="0" borderId="0"/>
    <xf numFmtId="0" fontId="3" fillId="0" borderId="0"/>
    <xf numFmtId="0" fontId="91" fillId="0" borderId="0"/>
    <xf numFmtId="0" fontId="91" fillId="0" borderId="0"/>
    <xf numFmtId="0" fontId="3" fillId="0" borderId="0"/>
    <xf numFmtId="0" fontId="91" fillId="0" borderId="0"/>
    <xf numFmtId="0" fontId="3" fillId="0" borderId="0"/>
    <xf numFmtId="0" fontId="3" fillId="0" borderId="0"/>
    <xf numFmtId="0" fontId="91" fillId="0" borderId="0"/>
    <xf numFmtId="0" fontId="91" fillId="0" borderId="0"/>
    <xf numFmtId="0" fontId="3" fillId="0" borderId="0"/>
    <xf numFmtId="0" fontId="91" fillId="0" borderId="0"/>
    <xf numFmtId="0" fontId="3" fillId="0" borderId="0"/>
    <xf numFmtId="0" fontId="3" fillId="0" borderId="0"/>
    <xf numFmtId="0" fontId="1" fillId="0" borderId="0"/>
    <xf numFmtId="0" fontId="91" fillId="0" borderId="0"/>
    <xf numFmtId="0" fontId="1" fillId="0" borderId="0"/>
    <xf numFmtId="0" fontId="3" fillId="0" borderId="0"/>
    <xf numFmtId="0" fontId="91" fillId="0" borderId="0"/>
    <xf numFmtId="0" fontId="91" fillId="0" borderId="0"/>
    <xf numFmtId="0" fontId="3" fillId="0" borderId="0"/>
    <xf numFmtId="0" fontId="3" fillId="0" borderId="0"/>
    <xf numFmtId="0" fontId="91" fillId="0" borderId="0"/>
    <xf numFmtId="0" fontId="91" fillId="0" borderId="0"/>
    <xf numFmtId="0" fontId="3" fillId="0" borderId="0"/>
    <xf numFmtId="0" fontId="3" fillId="0" borderId="0"/>
    <xf numFmtId="0" fontId="91" fillId="0" borderId="0"/>
    <xf numFmtId="0" fontId="91" fillId="0" borderId="0"/>
    <xf numFmtId="0" fontId="91" fillId="0" borderId="0"/>
    <xf numFmtId="0" fontId="91" fillId="0" borderId="0"/>
    <xf numFmtId="0" fontId="91" fillId="0" borderId="0"/>
    <xf numFmtId="0" fontId="91" fillId="0" borderId="0"/>
    <xf numFmtId="0" fontId="3" fillId="0" borderId="0"/>
    <xf numFmtId="0" fontId="3" fillId="0" borderId="0"/>
    <xf numFmtId="0" fontId="3" fillId="0" borderId="0"/>
    <xf numFmtId="0" fontId="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 fillId="0" borderId="0"/>
    <xf numFmtId="0" fontId="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 fillId="0" borderId="0"/>
    <xf numFmtId="0" fontId="91" fillId="0" borderId="0"/>
    <xf numFmtId="0" fontId="3" fillId="0" borderId="0"/>
    <xf numFmtId="0" fontId="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 fillId="0" borderId="0"/>
    <xf numFmtId="0" fontId="1" fillId="0" borderId="0"/>
    <xf numFmtId="0" fontId="91" fillId="0" borderId="0"/>
    <xf numFmtId="0" fontId="3" fillId="0" borderId="0"/>
    <xf numFmtId="0" fontId="91" fillId="0" borderId="0"/>
    <xf numFmtId="0" fontId="3" fillId="0" borderId="0"/>
    <xf numFmtId="0" fontId="91" fillId="0" borderId="0"/>
    <xf numFmtId="0" fontId="91" fillId="0" borderId="0"/>
    <xf numFmtId="0" fontId="91" fillId="0" borderId="0"/>
    <xf numFmtId="0" fontId="91" fillId="0" borderId="0"/>
    <xf numFmtId="0" fontId="9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91" fillId="0" borderId="0"/>
    <xf numFmtId="0" fontId="3" fillId="0" borderId="0"/>
    <xf numFmtId="0" fontId="91" fillId="0" borderId="0"/>
    <xf numFmtId="0" fontId="3" fillId="0" borderId="0"/>
    <xf numFmtId="0" fontId="1" fillId="0" borderId="0"/>
    <xf numFmtId="0" fontId="3" fillId="0" borderId="0"/>
    <xf numFmtId="0" fontId="91" fillId="0" borderId="0"/>
    <xf numFmtId="0" fontId="3" fillId="0" borderId="0"/>
    <xf numFmtId="0" fontId="91" fillId="0" borderId="0"/>
    <xf numFmtId="0" fontId="3" fillId="0" borderId="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68" fillId="23" borderId="8"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1" fillId="73" borderId="56" applyNumberFormat="0" applyFont="0" applyAlignment="0" applyProtection="0"/>
    <xf numFmtId="0" fontId="68" fillId="23" borderId="8" applyNumberFormat="0" applyFont="0" applyAlignment="0" applyProtection="0"/>
    <xf numFmtId="10" fontId="87"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applyFont="0" applyFill="0" applyBorder="0" applyAlignment="0" applyProtection="0"/>
    <xf numFmtId="0" fontId="86" fillId="0" borderId="0">
      <alignment horizontal="left"/>
    </xf>
    <xf numFmtId="0" fontId="87" fillId="0" borderId="0" applyNumberFormat="0" applyFill="0" applyBorder="0" applyAlignment="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3" fillId="0" borderId="0" applyNumberFormat="0" applyFill="0" applyBorder="0" applyAlignment="0" applyProtection="0"/>
  </cellStyleXfs>
  <cellXfs count="823">
    <xf numFmtId="0" fontId="0" fillId="0" borderId="0" xfId="0"/>
    <xf numFmtId="0" fontId="0" fillId="0" borderId="0" xfId="0" applyFill="1"/>
    <xf numFmtId="0" fontId="6" fillId="0" borderId="0" xfId="0" applyFont="1"/>
    <xf numFmtId="0" fontId="7" fillId="0" borderId="0" xfId="0" applyFont="1"/>
    <xf numFmtId="0" fontId="0" fillId="0" borderId="0" xfId="0" applyAlignment="1"/>
    <xf numFmtId="0" fontId="7" fillId="0" borderId="0" xfId="0" applyFont="1" applyBorder="1"/>
    <xf numFmtId="3" fontId="7" fillId="0" borderId="0" xfId="0" applyNumberFormat="1" applyFont="1" applyFill="1"/>
    <xf numFmtId="0" fontId="6" fillId="24" borderId="0" xfId="0" applyFont="1" applyFill="1"/>
    <xf numFmtId="166" fontId="0" fillId="0" borderId="0" xfId="109" applyNumberFormat="1" applyFont="1"/>
    <xf numFmtId="0" fontId="5" fillId="0" borderId="0" xfId="0" applyFont="1" applyFill="1" applyBorder="1"/>
    <xf numFmtId="165" fontId="0" fillId="0" borderId="0" xfId="29" applyNumberFormat="1" applyFont="1"/>
    <xf numFmtId="3" fontId="6" fillId="0" borderId="14" xfId="0" applyNumberFormat="1" applyFont="1" applyBorder="1"/>
    <xf numFmtId="0" fontId="7" fillId="0" borderId="0" xfId="0" applyFont="1" applyFill="1"/>
    <xf numFmtId="165" fontId="0" fillId="0" borderId="0" xfId="29" applyNumberFormat="1" applyFont="1" applyAlignment="1"/>
    <xf numFmtId="0" fontId="7" fillId="0" borderId="0" xfId="0" applyFont="1" applyFill="1" applyBorder="1"/>
    <xf numFmtId="0" fontId="6" fillId="0" borderId="0" xfId="0" applyFont="1" applyFill="1" applyBorder="1"/>
    <xf numFmtId="167" fontId="7" fillId="0" borderId="0" xfId="0" applyNumberFormat="1" applyFont="1" applyFill="1"/>
    <xf numFmtId="0" fontId="7" fillId="0" borderId="0" xfId="0" applyFont="1" applyFill="1" applyBorder="1" applyAlignment="1">
      <alignment horizontal="center" vertical="center" wrapText="1"/>
    </xf>
    <xf numFmtId="4" fontId="7" fillId="0" borderId="0" xfId="0" applyNumberFormat="1" applyFont="1" applyFill="1" applyBorder="1" applyAlignment="1"/>
    <xf numFmtId="0" fontId="7" fillId="0" borderId="0" xfId="0" applyFont="1" applyFill="1" applyBorder="1" applyAlignment="1"/>
    <xf numFmtId="43" fontId="7" fillId="0" borderId="0" xfId="29" applyFont="1" applyFill="1" applyBorder="1"/>
    <xf numFmtId="4" fontId="7" fillId="0" borderId="0" xfId="0" applyNumberFormat="1" applyFont="1" applyFill="1" applyBorder="1"/>
    <xf numFmtId="0" fontId="7" fillId="0" borderId="0" xfId="0" applyFont="1" applyFill="1" applyBorder="1" applyAlignment="1">
      <alignment horizontal="left"/>
    </xf>
    <xf numFmtId="43" fontId="7" fillId="0" borderId="0" xfId="29" applyFont="1" applyFill="1" applyBorder="1" applyAlignment="1"/>
    <xf numFmtId="165" fontId="7" fillId="0" borderId="0" xfId="0" applyNumberFormat="1" applyFont="1" applyFill="1" applyBorder="1" applyAlignment="1"/>
    <xf numFmtId="2" fontId="6" fillId="0" borderId="15" xfId="0" applyNumberFormat="1" applyFont="1" applyBorder="1"/>
    <xf numFmtId="2" fontId="6" fillId="0" borderId="16" xfId="0" applyNumberFormat="1" applyFont="1" applyBorder="1"/>
    <xf numFmtId="2" fontId="6" fillId="0" borderId="17" xfId="0" applyNumberFormat="1" applyFont="1" applyBorder="1"/>
    <xf numFmtId="2" fontId="6" fillId="0" borderId="14" xfId="0" applyNumberFormat="1" applyFont="1" applyBorder="1"/>
    <xf numFmtId="165" fontId="6" fillId="0" borderId="17" xfId="29" applyNumberFormat="1" applyFont="1" applyBorder="1"/>
    <xf numFmtId="165" fontId="6" fillId="0" borderId="18" xfId="29" applyNumberFormat="1" applyFont="1" applyBorder="1"/>
    <xf numFmtId="0" fontId="0" fillId="0" borderId="0" xfId="0" quotePrefix="1" applyFill="1"/>
    <xf numFmtId="0" fontId="0" fillId="0" borderId="0" xfId="0" applyFill="1" applyAlignment="1">
      <alignment horizontal="justify" vertical="top"/>
    </xf>
    <xf numFmtId="0" fontId="23" fillId="25" borderId="19" xfId="0" applyFont="1" applyFill="1" applyBorder="1"/>
    <xf numFmtId="0" fontId="3" fillId="26" borderId="19" xfId="0" applyFont="1" applyFill="1" applyBorder="1"/>
    <xf numFmtId="0" fontId="0" fillId="27" borderId="0" xfId="0" applyFill="1"/>
    <xf numFmtId="0" fontId="6" fillId="27" borderId="0" xfId="0" applyFont="1" applyFill="1"/>
    <xf numFmtId="0" fontId="7" fillId="27" borderId="0" xfId="0" applyFont="1" applyFill="1"/>
    <xf numFmtId="165" fontId="6" fillId="27" borderId="0" xfId="29" applyNumberFormat="1" applyFont="1" applyFill="1" applyBorder="1"/>
    <xf numFmtId="0" fontId="4" fillId="27" borderId="0" xfId="0" applyFont="1" applyFill="1" applyAlignment="1">
      <alignment horizontal="center"/>
    </xf>
    <xf numFmtId="0" fontId="4" fillId="27" borderId="0" xfId="0" applyFont="1" applyFill="1" applyAlignment="1">
      <alignment horizontal="center" vertical="top"/>
    </xf>
    <xf numFmtId="2" fontId="6" fillId="0" borderId="20" xfId="0" applyNumberFormat="1" applyFont="1" applyBorder="1"/>
    <xf numFmtId="2" fontId="6" fillId="0" borderId="21" xfId="0" applyNumberFormat="1" applyFont="1" applyBorder="1"/>
    <xf numFmtId="4" fontId="6" fillId="0" borderId="17" xfId="0" applyNumberFormat="1" applyFont="1" applyBorder="1"/>
    <xf numFmtId="4" fontId="6" fillId="0" borderId="22" xfId="0" applyNumberFormat="1" applyFont="1" applyBorder="1"/>
    <xf numFmtId="4" fontId="7" fillId="28" borderId="17" xfId="0" applyNumberFormat="1" applyFont="1" applyFill="1" applyBorder="1"/>
    <xf numFmtId="4" fontId="7" fillId="28" borderId="22" xfId="0" applyNumberFormat="1" applyFont="1" applyFill="1" applyBorder="1"/>
    <xf numFmtId="4" fontId="7" fillId="26" borderId="17" xfId="0" applyNumberFormat="1" applyFont="1" applyFill="1" applyBorder="1"/>
    <xf numFmtId="4" fontId="7" fillId="26" borderId="22" xfId="0" applyNumberFormat="1" applyFont="1" applyFill="1" applyBorder="1"/>
    <xf numFmtId="4" fontId="7" fillId="29" borderId="17" xfId="0" applyNumberFormat="1" applyFont="1" applyFill="1" applyBorder="1"/>
    <xf numFmtId="4" fontId="7" fillId="0" borderId="17" xfId="0" applyNumberFormat="1" applyFont="1" applyBorder="1"/>
    <xf numFmtId="4" fontId="6" fillId="0" borderId="14" xfId="0" applyNumberFormat="1" applyFont="1" applyBorder="1"/>
    <xf numFmtId="4" fontId="7" fillId="29" borderId="22" xfId="0" applyNumberFormat="1" applyFont="1" applyFill="1" applyBorder="1"/>
    <xf numFmtId="4" fontId="7" fillId="0" borderId="22" xfId="0" applyNumberFormat="1" applyFont="1" applyBorder="1"/>
    <xf numFmtId="4" fontId="6" fillId="0" borderId="23" xfId="0" applyNumberFormat="1" applyFont="1" applyBorder="1"/>
    <xf numFmtId="0" fontId="6" fillId="26" borderId="24" xfId="0" applyFont="1" applyFill="1" applyBorder="1"/>
    <xf numFmtId="0" fontId="6" fillId="26" borderId="25" xfId="0" applyFont="1" applyFill="1" applyBorder="1"/>
    <xf numFmtId="0" fontId="3" fillId="0" borderId="0" xfId="0" applyFont="1" applyFill="1" applyBorder="1"/>
    <xf numFmtId="0" fontId="3" fillId="30" borderId="19" xfId="0" applyFont="1" applyFill="1" applyBorder="1"/>
    <xf numFmtId="0" fontId="6" fillId="27" borderId="26" xfId="0" applyFont="1" applyFill="1" applyBorder="1"/>
    <xf numFmtId="0" fontId="6" fillId="27" borderId="17" xfId="0" applyFont="1" applyFill="1" applyBorder="1"/>
    <xf numFmtId="0" fontId="0" fillId="27" borderId="0" xfId="0" applyFill="1" applyBorder="1"/>
    <xf numFmtId="0" fontId="6" fillId="27" borderId="17" xfId="104" applyFont="1" applyFill="1" applyBorder="1" applyAlignment="1" applyProtection="1">
      <alignment horizontal="left"/>
      <protection locked="0"/>
    </xf>
    <xf numFmtId="3" fontId="6" fillId="27" borderId="17" xfId="0" applyNumberFormat="1" applyFont="1" applyFill="1" applyBorder="1"/>
    <xf numFmtId="166" fontId="6" fillId="27" borderId="15" xfId="109" applyNumberFormat="1" applyFont="1" applyFill="1" applyBorder="1"/>
    <xf numFmtId="3" fontId="6" fillId="27" borderId="0" xfId="0" applyNumberFormat="1" applyFont="1" applyFill="1" applyBorder="1"/>
    <xf numFmtId="168" fontId="6" fillId="27" borderId="0" xfId="0" applyNumberFormat="1" applyFont="1" applyFill="1" applyBorder="1"/>
    <xf numFmtId="0" fontId="7" fillId="27" borderId="17" xfId="104" applyFont="1" applyFill="1" applyBorder="1" applyAlignment="1" applyProtection="1">
      <alignment horizontal="left"/>
      <protection locked="0"/>
    </xf>
    <xf numFmtId="3" fontId="7" fillId="27" borderId="17" xfId="0" applyNumberFormat="1" applyFont="1" applyFill="1" applyBorder="1"/>
    <xf numFmtId="3" fontId="7" fillId="27" borderId="15" xfId="0" applyNumberFormat="1" applyFont="1" applyFill="1" applyBorder="1"/>
    <xf numFmtId="165" fontId="7" fillId="27" borderId="0" xfId="29" applyNumberFormat="1" applyFont="1" applyFill="1" applyBorder="1"/>
    <xf numFmtId="165" fontId="7" fillId="27" borderId="15" xfId="29" applyNumberFormat="1" applyFont="1" applyFill="1" applyBorder="1"/>
    <xf numFmtId="168" fontId="7" fillId="27" borderId="0" xfId="0" applyNumberFormat="1" applyFont="1" applyFill="1" applyBorder="1"/>
    <xf numFmtId="3" fontId="6" fillId="27" borderId="17" xfId="104" applyNumberFormat="1" applyFont="1" applyFill="1" applyBorder="1" applyAlignment="1" applyProtection="1">
      <alignment horizontal="left"/>
      <protection locked="0"/>
    </xf>
    <xf numFmtId="165" fontId="6" fillId="27" borderId="15" xfId="29" applyNumberFormat="1" applyFont="1" applyFill="1" applyBorder="1"/>
    <xf numFmtId="3" fontId="7" fillId="27" borderId="0" xfId="0" applyNumberFormat="1" applyFont="1" applyFill="1" applyBorder="1"/>
    <xf numFmtId="168" fontId="6" fillId="27" borderId="15" xfId="29" applyNumberFormat="1" applyFont="1" applyFill="1" applyBorder="1"/>
    <xf numFmtId="0" fontId="6" fillId="27" borderId="24" xfId="0" applyFont="1" applyFill="1" applyBorder="1"/>
    <xf numFmtId="166" fontId="6" fillId="27" borderId="27" xfId="109" applyNumberFormat="1" applyFont="1" applyFill="1" applyBorder="1"/>
    <xf numFmtId="3" fontId="6" fillId="27" borderId="25" xfId="0" applyNumberFormat="1" applyFont="1" applyFill="1" applyBorder="1"/>
    <xf numFmtId="0" fontId="6" fillId="27" borderId="25" xfId="0" applyFont="1" applyFill="1" applyBorder="1"/>
    <xf numFmtId="168" fontId="6" fillId="27" borderId="25" xfId="29" applyNumberFormat="1" applyFont="1" applyFill="1" applyBorder="1"/>
    <xf numFmtId="168" fontId="7" fillId="27" borderId="0" xfId="0" applyNumberFormat="1" applyFont="1" applyFill="1"/>
    <xf numFmtId="169" fontId="6" fillId="27" borderId="0" xfId="0" applyNumberFormat="1" applyFont="1" applyFill="1"/>
    <xf numFmtId="0" fontId="6" fillId="27" borderId="0" xfId="0" applyFont="1" applyFill="1" applyBorder="1" applyAlignment="1">
      <alignment horizontal="center" vertical="top" wrapText="1"/>
    </xf>
    <xf numFmtId="0" fontId="6" fillId="27" borderId="0" xfId="0" quotePrefix="1" applyFont="1" applyFill="1" applyBorder="1"/>
    <xf numFmtId="4" fontId="6" fillId="27" borderId="17" xfId="0" applyNumberFormat="1" applyFont="1" applyFill="1" applyBorder="1"/>
    <xf numFmtId="4" fontId="6" fillId="27" borderId="22" xfId="0" applyNumberFormat="1" applyFont="1" applyFill="1" applyBorder="1"/>
    <xf numFmtId="37" fontId="6" fillId="27" borderId="26" xfId="0" applyNumberFormat="1" applyFont="1" applyFill="1" applyBorder="1"/>
    <xf numFmtId="165" fontId="6" fillId="27" borderId="28" xfId="29" applyNumberFormat="1" applyFont="1" applyFill="1" applyBorder="1"/>
    <xf numFmtId="2" fontId="6" fillId="27" borderId="15" xfId="0" applyNumberFormat="1" applyFont="1" applyFill="1" applyBorder="1"/>
    <xf numFmtId="0" fontId="7" fillId="27" borderId="0" xfId="0" applyFont="1" applyFill="1" applyBorder="1"/>
    <xf numFmtId="2" fontId="6" fillId="27" borderId="17" xfId="0" applyNumberFormat="1" applyFont="1" applyFill="1" applyBorder="1"/>
    <xf numFmtId="2" fontId="6" fillId="27" borderId="29" xfId="0" applyNumberFormat="1" applyFont="1" applyFill="1" applyBorder="1"/>
    <xf numFmtId="0" fontId="6" fillId="27" borderId="0" xfId="0" applyFont="1" applyFill="1" applyBorder="1"/>
    <xf numFmtId="3" fontId="6" fillId="27" borderId="30" xfId="0" applyNumberFormat="1" applyFont="1" applyFill="1" applyBorder="1"/>
    <xf numFmtId="170" fontId="7" fillId="27" borderId="0" xfId="0" applyNumberFormat="1" applyFont="1" applyFill="1" applyBorder="1"/>
    <xf numFmtId="0" fontId="7" fillId="27" borderId="31" xfId="0" applyFont="1" applyFill="1" applyBorder="1"/>
    <xf numFmtId="0" fontId="7" fillId="27" borderId="0" xfId="0" applyFont="1" applyFill="1" applyBorder="1" applyAlignment="1">
      <alignment horizontal="left"/>
    </xf>
    <xf numFmtId="0" fontId="7" fillId="27" borderId="17" xfId="0" applyFont="1" applyFill="1" applyBorder="1"/>
    <xf numFmtId="0" fontId="7" fillId="27" borderId="0" xfId="0" applyFont="1" applyFill="1" applyBorder="1" applyAlignment="1"/>
    <xf numFmtId="167" fontId="7" fillId="27" borderId="0" xfId="0" applyNumberFormat="1" applyFont="1" applyFill="1" applyBorder="1"/>
    <xf numFmtId="3" fontId="7" fillId="27" borderId="32" xfId="0" applyNumberFormat="1" applyFont="1" applyFill="1" applyBorder="1"/>
    <xf numFmtId="3" fontId="7" fillId="27" borderId="33" xfId="0" applyNumberFormat="1" applyFont="1" applyFill="1" applyBorder="1"/>
    <xf numFmtId="3" fontId="7" fillId="27" borderId="10" xfId="0" applyNumberFormat="1" applyFont="1" applyFill="1" applyBorder="1"/>
    <xf numFmtId="3" fontId="6" fillId="27" borderId="32" xfId="0" applyNumberFormat="1" applyFont="1" applyFill="1" applyBorder="1"/>
    <xf numFmtId="3" fontId="7" fillId="27" borderId="33" xfId="0" applyNumberFormat="1" applyFont="1" applyFill="1" applyBorder="1" applyAlignment="1">
      <alignment horizontal="center"/>
    </xf>
    <xf numFmtId="43" fontId="0" fillId="27" borderId="34" xfId="0" applyNumberFormat="1" applyFill="1" applyBorder="1"/>
    <xf numFmtId="43" fontId="0" fillId="27" borderId="32" xfId="0" applyNumberFormat="1" applyFill="1" applyBorder="1"/>
    <xf numFmtId="0" fontId="0" fillId="27" borderId="10" xfId="0" applyFill="1" applyBorder="1"/>
    <xf numFmtId="167" fontId="7" fillId="27" borderId="33" xfId="0" applyNumberFormat="1" applyFont="1" applyFill="1" applyBorder="1"/>
    <xf numFmtId="171" fontId="7" fillId="27" borderId="35" xfId="0" applyNumberFormat="1" applyFont="1" applyFill="1" applyBorder="1"/>
    <xf numFmtId="171" fontId="7" fillId="27" borderId="18" xfId="0" applyNumberFormat="1" applyFont="1" applyFill="1" applyBorder="1"/>
    <xf numFmtId="167" fontId="7" fillId="27" borderId="36" xfId="0" applyNumberFormat="1" applyFont="1" applyFill="1" applyBorder="1"/>
    <xf numFmtId="167" fontId="6" fillId="27" borderId="37" xfId="0" applyNumberFormat="1" applyFont="1" applyFill="1" applyBorder="1" applyAlignment="1">
      <alignment horizontal="center"/>
    </xf>
    <xf numFmtId="0" fontId="6" fillId="27" borderId="34" xfId="0" applyFont="1" applyFill="1" applyBorder="1" applyAlignment="1">
      <alignment horizontal="center" wrapText="1"/>
    </xf>
    <xf numFmtId="0" fontId="7" fillId="27" borderId="38" xfId="0" applyFont="1" applyFill="1" applyBorder="1"/>
    <xf numFmtId="3" fontId="6" fillId="27" borderId="37" xfId="0" applyNumberFormat="1" applyFont="1" applyFill="1" applyBorder="1" applyAlignment="1">
      <alignment horizontal="center"/>
    </xf>
    <xf numFmtId="165" fontId="6" fillId="27" borderId="37" xfId="29" applyNumberFormat="1" applyFont="1" applyFill="1" applyBorder="1" applyAlignment="1">
      <alignment horizontal="center" wrapText="1"/>
    </xf>
    <xf numFmtId="0" fontId="7" fillId="27" borderId="6" xfId="0" applyFont="1" applyFill="1" applyBorder="1"/>
    <xf numFmtId="0" fontId="6" fillId="27" borderId="6" xfId="0" applyFont="1" applyFill="1" applyBorder="1"/>
    <xf numFmtId="3" fontId="6" fillId="27" borderId="34" xfId="0" applyNumberFormat="1" applyFont="1" applyFill="1" applyBorder="1"/>
    <xf numFmtId="0" fontId="6" fillId="27" borderId="6" xfId="104" applyFont="1" applyFill="1" applyBorder="1" applyAlignment="1" applyProtection="1">
      <alignment horizontal="left"/>
      <protection locked="0"/>
    </xf>
    <xf numFmtId="3" fontId="6" fillId="27" borderId="0" xfId="104" applyNumberFormat="1" applyFont="1" applyFill="1" applyBorder="1" applyProtection="1">
      <protection locked="0"/>
    </xf>
    <xf numFmtId="0" fontId="7" fillId="27" borderId="6" xfId="104" applyFont="1" applyFill="1" applyBorder="1" applyAlignment="1" applyProtection="1">
      <alignment horizontal="left"/>
      <protection locked="0"/>
    </xf>
    <xf numFmtId="3" fontId="7" fillId="27" borderId="0" xfId="104" applyNumberFormat="1" applyFont="1" applyFill="1" applyBorder="1" applyProtection="1">
      <protection locked="0"/>
    </xf>
    <xf numFmtId="173" fontId="6" fillId="27" borderId="0" xfId="109" applyNumberFormat="1" applyFont="1" applyFill="1" applyBorder="1" applyProtection="1">
      <protection locked="0"/>
    </xf>
    <xf numFmtId="10" fontId="6" fillId="27" borderId="0" xfId="109" applyNumberFormat="1" applyFont="1" applyFill="1" applyBorder="1" applyProtection="1">
      <protection locked="0"/>
    </xf>
    <xf numFmtId="0" fontId="7" fillId="27" borderId="6" xfId="104" applyFont="1" applyFill="1" applyBorder="1"/>
    <xf numFmtId="3" fontId="6" fillId="27" borderId="39" xfId="0" applyNumberFormat="1" applyFont="1" applyFill="1" applyBorder="1"/>
    <xf numFmtId="3" fontId="15" fillId="27" borderId="0" xfId="0" applyNumberFormat="1" applyFont="1" applyFill="1" applyBorder="1"/>
    <xf numFmtId="0" fontId="7" fillId="27" borderId="40" xfId="0" applyFont="1" applyFill="1" applyBorder="1"/>
    <xf numFmtId="3" fontId="15" fillId="27" borderId="32" xfId="0" applyNumberFormat="1" applyFont="1" applyFill="1" applyBorder="1"/>
    <xf numFmtId="0" fontId="7" fillId="27" borderId="33" xfId="0" applyFont="1" applyFill="1" applyBorder="1"/>
    <xf numFmtId="3" fontId="6" fillId="27" borderId="37" xfId="0" applyNumberFormat="1" applyFont="1" applyFill="1" applyBorder="1" applyAlignment="1">
      <alignment horizontal="center" wrapText="1"/>
    </xf>
    <xf numFmtId="0" fontId="7" fillId="27" borderId="32" xfId="0" applyFont="1" applyFill="1" applyBorder="1"/>
    <xf numFmtId="3" fontId="7" fillId="27" borderId="0" xfId="0" applyNumberFormat="1" applyFont="1" applyFill="1" applyBorder="1" applyAlignment="1">
      <alignment horizontal="right"/>
    </xf>
    <xf numFmtId="3" fontId="6" fillId="27" borderId="13" xfId="0" applyNumberFormat="1" applyFont="1" applyFill="1" applyBorder="1"/>
    <xf numFmtId="0" fontId="7" fillId="27" borderId="10" xfId="0" applyFont="1" applyFill="1" applyBorder="1"/>
    <xf numFmtId="165" fontId="19" fillId="27" borderId="0" xfId="29" applyNumberFormat="1" applyFont="1" applyFill="1" applyBorder="1"/>
    <xf numFmtId="165" fontId="14" fillId="27" borderId="0" xfId="0" applyNumberFormat="1" applyFont="1" applyFill="1" applyBorder="1"/>
    <xf numFmtId="38" fontId="14" fillId="27" borderId="0" xfId="0" applyNumberFormat="1" applyFont="1" applyFill="1" applyBorder="1"/>
    <xf numFmtId="0" fontId="14" fillId="27" borderId="0" xfId="0" applyFont="1" applyFill="1" applyBorder="1"/>
    <xf numFmtId="3" fontId="7" fillId="27" borderId="0" xfId="0" applyNumberFormat="1" applyFont="1" applyFill="1"/>
    <xf numFmtId="169" fontId="7" fillId="27" borderId="0" xfId="0" applyNumberFormat="1" applyFont="1" applyFill="1"/>
    <xf numFmtId="3" fontId="7" fillId="27" borderId="6" xfId="0" applyNumberFormat="1" applyFont="1" applyFill="1" applyBorder="1"/>
    <xf numFmtId="3" fontId="7" fillId="27" borderId="40" xfId="0" applyNumberFormat="1" applyFont="1" applyFill="1" applyBorder="1"/>
    <xf numFmtId="3" fontId="6" fillId="27" borderId="6" xfId="0" applyNumberFormat="1" applyFont="1" applyFill="1" applyBorder="1"/>
    <xf numFmtId="3" fontId="6" fillId="27" borderId="41" xfId="0" applyNumberFormat="1" applyFont="1" applyFill="1" applyBorder="1"/>
    <xf numFmtId="165" fontId="6" fillId="24" borderId="38" xfId="29" applyNumberFormat="1" applyFont="1" applyFill="1" applyBorder="1" applyAlignment="1">
      <alignment horizontal="center" wrapText="1"/>
    </xf>
    <xf numFmtId="165" fontId="6" fillId="24" borderId="37" xfId="29" applyNumberFormat="1" applyFont="1" applyFill="1" applyBorder="1" applyAlignment="1">
      <alignment horizontal="center" wrapText="1"/>
    </xf>
    <xf numFmtId="165" fontId="6" fillId="24" borderId="34" xfId="29" applyNumberFormat="1" applyFont="1" applyFill="1" applyBorder="1" applyAlignment="1">
      <alignment horizontal="center" wrapText="1"/>
    </xf>
    <xf numFmtId="0" fontId="28" fillId="32" borderId="18" xfId="105" applyFont="1" applyFill="1" applyBorder="1" applyAlignment="1">
      <alignment horizontal="left" wrapText="1"/>
    </xf>
    <xf numFmtId="0" fontId="28" fillId="32" borderId="18" xfId="105" applyFont="1" applyFill="1" applyBorder="1" applyAlignment="1">
      <alignment horizontal="left"/>
    </xf>
    <xf numFmtId="1" fontId="28" fillId="32" borderId="18" xfId="105" applyNumberFormat="1" applyFont="1" applyFill="1" applyBorder="1" applyAlignment="1">
      <alignment horizontal="center"/>
    </xf>
    <xf numFmtId="0" fontId="28" fillId="34" borderId="18" xfId="105" applyFont="1" applyFill="1" applyBorder="1" applyAlignment="1">
      <alignment horizontal="left" wrapText="1"/>
    </xf>
    <xf numFmtId="0" fontId="28" fillId="34" borderId="18" xfId="105" applyFont="1" applyFill="1" applyBorder="1" applyAlignment="1">
      <alignment horizontal="left"/>
    </xf>
    <xf numFmtId="1" fontId="28" fillId="34" borderId="18" xfId="105" applyNumberFormat="1" applyFont="1" applyFill="1" applyBorder="1" applyAlignment="1">
      <alignment horizontal="center"/>
    </xf>
    <xf numFmtId="0" fontId="28" fillId="35" borderId="18" xfId="105" applyFont="1" applyFill="1" applyBorder="1" applyAlignment="1">
      <alignment horizontal="left" wrapText="1"/>
    </xf>
    <xf numFmtId="0" fontId="28" fillId="35" borderId="18" xfId="105" applyFont="1" applyFill="1" applyBorder="1" applyAlignment="1">
      <alignment horizontal="left"/>
    </xf>
    <xf numFmtId="1" fontId="28" fillId="35" borderId="18" xfId="105" applyNumberFormat="1" applyFont="1" applyFill="1" applyBorder="1" applyAlignment="1">
      <alignment horizontal="center"/>
    </xf>
    <xf numFmtId="0" fontId="28" fillId="36" borderId="18" xfId="105" applyFont="1" applyFill="1" applyBorder="1" applyAlignment="1">
      <alignment horizontal="left" wrapText="1"/>
    </xf>
    <xf numFmtId="0" fontId="28" fillId="36" borderId="18" xfId="105" applyFont="1" applyFill="1" applyBorder="1" applyAlignment="1">
      <alignment horizontal="left"/>
    </xf>
    <xf numFmtId="1" fontId="28" fillId="36" borderId="18" xfId="105" applyNumberFormat="1" applyFont="1" applyFill="1" applyBorder="1" applyAlignment="1">
      <alignment horizontal="center"/>
    </xf>
    <xf numFmtId="0" fontId="28" fillId="37" borderId="18" xfId="105" applyFont="1" applyFill="1" applyBorder="1" applyAlignment="1">
      <alignment horizontal="left" wrapText="1"/>
    </xf>
    <xf numFmtId="0" fontId="28" fillId="37" borderId="18" xfId="105" applyFont="1" applyFill="1" applyBorder="1" applyAlignment="1">
      <alignment horizontal="left"/>
    </xf>
    <xf numFmtId="1" fontId="28" fillId="37" borderId="18" xfId="105" applyNumberFormat="1" applyFont="1" applyFill="1" applyBorder="1" applyAlignment="1">
      <alignment horizontal="center"/>
    </xf>
    <xf numFmtId="0" fontId="28" fillId="38" borderId="18" xfId="105" applyFont="1" applyFill="1" applyBorder="1" applyAlignment="1">
      <alignment horizontal="left" wrapText="1"/>
    </xf>
    <xf numFmtId="0" fontId="28" fillId="38" borderId="18" xfId="105" applyFont="1" applyFill="1" applyBorder="1" applyAlignment="1">
      <alignment horizontal="left"/>
    </xf>
    <xf numFmtId="1" fontId="28" fillId="38" borderId="18" xfId="105" applyNumberFormat="1" applyFont="1" applyFill="1" applyBorder="1" applyAlignment="1">
      <alignment horizontal="center"/>
    </xf>
    <xf numFmtId="0" fontId="28" fillId="40" borderId="18" xfId="105" applyFont="1" applyFill="1" applyBorder="1" applyAlignment="1">
      <alignment horizontal="left" wrapText="1"/>
    </xf>
    <xf numFmtId="0" fontId="28" fillId="40" borderId="18" xfId="105" applyFont="1" applyFill="1" applyBorder="1" applyAlignment="1">
      <alignment horizontal="left"/>
    </xf>
    <xf numFmtId="1" fontId="28" fillId="40" borderId="18" xfId="105" applyNumberFormat="1" applyFont="1" applyFill="1" applyBorder="1" applyAlignment="1">
      <alignment horizontal="center"/>
    </xf>
    <xf numFmtId="0" fontId="28" fillId="42" borderId="18" xfId="105" applyFont="1" applyFill="1" applyBorder="1" applyAlignment="1">
      <alignment horizontal="left"/>
    </xf>
    <xf numFmtId="1" fontId="14" fillId="42" borderId="18" xfId="105" applyNumberFormat="1" applyFont="1" applyFill="1" applyBorder="1" applyAlignment="1">
      <alignment horizontal="center"/>
    </xf>
    <xf numFmtId="0" fontId="28" fillId="42" borderId="18" xfId="105" applyFont="1" applyFill="1" applyBorder="1" applyAlignment="1">
      <alignment horizontal="left" wrapText="1"/>
    </xf>
    <xf numFmtId="166" fontId="7" fillId="0" borderId="0" xfId="109" applyNumberFormat="1" applyFont="1" applyFill="1"/>
    <xf numFmtId="165" fontId="7" fillId="0" borderId="0" xfId="0" applyNumberFormat="1" applyFont="1" applyFill="1"/>
    <xf numFmtId="0" fontId="0" fillId="27" borderId="0" xfId="0" applyFill="1" applyBorder="1" applyAlignment="1">
      <alignment wrapText="1"/>
    </xf>
    <xf numFmtId="166" fontId="6" fillId="27" borderId="0" xfId="109" applyNumberFormat="1" applyFont="1" applyFill="1" applyBorder="1" applyAlignment="1">
      <alignment horizontal="center" wrapText="1"/>
    </xf>
    <xf numFmtId="0" fontId="0" fillId="27" borderId="0" xfId="0" applyFill="1" applyBorder="1" applyAlignment="1"/>
    <xf numFmtId="166" fontId="0" fillId="27" borderId="0" xfId="109" applyNumberFormat="1" applyFont="1" applyFill="1" applyBorder="1"/>
    <xf numFmtId="166" fontId="0" fillId="27" borderId="0" xfId="109" applyNumberFormat="1" applyFont="1" applyFill="1"/>
    <xf numFmtId="3" fontId="7" fillId="27" borderId="43" xfId="0" applyNumberFormat="1" applyFont="1" applyFill="1" applyBorder="1"/>
    <xf numFmtId="166" fontId="0" fillId="27" borderId="43" xfId="109" applyNumberFormat="1" applyFont="1" applyFill="1" applyBorder="1"/>
    <xf numFmtId="9" fontId="0" fillId="27" borderId="43" xfId="109" applyFont="1" applyFill="1" applyBorder="1"/>
    <xf numFmtId="3" fontId="0" fillId="27" borderId="43" xfId="0" applyNumberFormat="1" applyFill="1" applyBorder="1"/>
    <xf numFmtId="46" fontId="18" fillId="27" borderId="0" xfId="0" applyNumberFormat="1" applyFont="1" applyFill="1" applyBorder="1" applyAlignment="1">
      <alignment horizontal="center"/>
    </xf>
    <xf numFmtId="0" fontId="20" fillId="27" borderId="0" xfId="0" applyFont="1" applyFill="1"/>
    <xf numFmtId="0" fontId="6" fillId="26" borderId="0" xfId="0" applyFont="1" applyFill="1"/>
    <xf numFmtId="0" fontId="0" fillId="26" borderId="0" xfId="0" applyFill="1"/>
    <xf numFmtId="3" fontId="6" fillId="26" borderId="0" xfId="0" applyNumberFormat="1" applyFont="1" applyFill="1"/>
    <xf numFmtId="0" fontId="6" fillId="44" borderId="0" xfId="0" applyFont="1" applyFill="1"/>
    <xf numFmtId="0" fontId="0" fillId="44" borderId="0" xfId="0" applyFill="1"/>
    <xf numFmtId="3" fontId="6" fillId="44" borderId="0" xfId="0" applyNumberFormat="1" applyFont="1" applyFill="1"/>
    <xf numFmtId="0" fontId="12" fillId="27" borderId="0" xfId="0" applyFont="1" applyFill="1"/>
    <xf numFmtId="0" fontId="0" fillId="27" borderId="43" xfId="0" applyFill="1" applyBorder="1"/>
    <xf numFmtId="0" fontId="0" fillId="27" borderId="13" xfId="0" applyFill="1" applyBorder="1"/>
    <xf numFmtId="0" fontId="25" fillId="27" borderId="0" xfId="0" applyFont="1" applyFill="1"/>
    <xf numFmtId="165" fontId="24" fillId="27" borderId="43" xfId="29" applyNumberFormat="1" applyFont="1" applyFill="1" applyBorder="1"/>
    <xf numFmtId="43" fontId="24" fillId="27" borderId="43" xfId="29" applyNumberFormat="1" applyFont="1" applyFill="1" applyBorder="1"/>
    <xf numFmtId="43" fontId="24" fillId="27" borderId="43" xfId="29" applyFont="1" applyFill="1" applyBorder="1"/>
    <xf numFmtId="165" fontId="24" fillId="27" borderId="13" xfId="29" applyNumberFormat="1" applyFont="1" applyFill="1" applyBorder="1"/>
    <xf numFmtId="43" fontId="24" fillId="27" borderId="13" xfId="29" applyNumberFormat="1" applyFont="1" applyFill="1" applyBorder="1"/>
    <xf numFmtId="0" fontId="0" fillId="27" borderId="0" xfId="0" applyFill="1" applyAlignment="1">
      <alignment horizontal="left" vertical="top" wrapText="1"/>
    </xf>
    <xf numFmtId="0" fontId="17" fillId="27" borderId="0" xfId="0" applyFont="1" applyFill="1"/>
    <xf numFmtId="0" fontId="43" fillId="32" borderId="18" xfId="105" applyFont="1" applyFill="1" applyBorder="1" applyAlignment="1">
      <alignment horizontal="left" wrapText="1"/>
    </xf>
    <xf numFmtId="0" fontId="28" fillId="32" borderId="18" xfId="105" applyFont="1" applyFill="1" applyBorder="1" applyAlignment="1">
      <alignment horizontal="center" wrapText="1"/>
    </xf>
    <xf numFmtId="0" fontId="43" fillId="34" borderId="18" xfId="105" applyFont="1" applyFill="1" applyBorder="1" applyAlignment="1">
      <alignment horizontal="left" wrapText="1"/>
    </xf>
    <xf numFmtId="0" fontId="28" fillId="34" borderId="18" xfId="105" applyFont="1" applyFill="1" applyBorder="1" applyAlignment="1">
      <alignment horizontal="center" wrapText="1"/>
    </xf>
    <xf numFmtId="1" fontId="28" fillId="45" borderId="18" xfId="105" applyNumberFormat="1" applyFont="1" applyFill="1" applyBorder="1" applyAlignment="1">
      <alignment horizontal="center"/>
    </xf>
    <xf numFmtId="0" fontId="43" fillId="45" borderId="18" xfId="105" applyFont="1" applyFill="1" applyBorder="1" applyAlignment="1">
      <alignment horizontal="left" wrapText="1"/>
    </xf>
    <xf numFmtId="0" fontId="28" fillId="45" borderId="18" xfId="105" applyFont="1" applyFill="1" applyBorder="1" applyAlignment="1">
      <alignment horizontal="left"/>
    </xf>
    <xf numFmtId="0" fontId="28" fillId="45" borderId="18" xfId="105" applyFont="1" applyFill="1" applyBorder="1" applyAlignment="1">
      <alignment horizontal="center" wrapText="1"/>
    </xf>
    <xf numFmtId="0" fontId="28" fillId="45" borderId="18" xfId="105" applyFont="1" applyFill="1" applyBorder="1" applyAlignment="1">
      <alignment horizontal="left" wrapText="1"/>
    </xf>
    <xf numFmtId="0" fontId="43" fillId="35" borderId="18" xfId="105" applyFont="1" applyFill="1" applyBorder="1" applyAlignment="1">
      <alignment horizontal="left" wrapText="1"/>
    </xf>
    <xf numFmtId="0" fontId="28" fillId="35" borderId="18" xfId="105" applyFont="1" applyFill="1" applyBorder="1" applyAlignment="1">
      <alignment horizontal="center" wrapText="1"/>
    </xf>
    <xf numFmtId="0" fontId="43" fillId="36" borderId="18" xfId="105" applyFont="1" applyFill="1" applyBorder="1" applyAlignment="1">
      <alignment horizontal="left" wrapText="1"/>
    </xf>
    <xf numFmtId="0" fontId="28" fillId="36" borderId="18" xfId="105" applyFont="1" applyFill="1" applyBorder="1" applyAlignment="1">
      <alignment horizontal="center" wrapText="1"/>
    </xf>
    <xf numFmtId="0" fontId="43" fillId="37" borderId="18" xfId="105" applyFont="1" applyFill="1" applyBorder="1" applyAlignment="1">
      <alignment horizontal="left" wrapText="1"/>
    </xf>
    <xf numFmtId="0" fontId="28" fillId="37" borderId="18" xfId="105" applyFont="1" applyFill="1" applyBorder="1" applyAlignment="1">
      <alignment horizontal="center" wrapText="1"/>
    </xf>
    <xf numFmtId="0" fontId="43" fillId="38" borderId="18" xfId="105" applyFont="1" applyFill="1" applyBorder="1" applyAlignment="1">
      <alignment horizontal="left" wrapText="1"/>
    </xf>
    <xf numFmtId="0" fontId="28" fillId="38" borderId="18" xfId="105" applyFont="1" applyFill="1" applyBorder="1" applyAlignment="1">
      <alignment horizontal="center" wrapText="1"/>
    </xf>
    <xf numFmtId="0" fontId="43" fillId="40" borderId="18" xfId="105" applyFont="1" applyFill="1" applyBorder="1" applyAlignment="1">
      <alignment horizontal="left" wrapText="1"/>
    </xf>
    <xf numFmtId="0" fontId="28" fillId="40" borderId="18" xfId="105" applyFont="1" applyFill="1" applyBorder="1" applyAlignment="1">
      <alignment horizontal="center" wrapText="1"/>
    </xf>
    <xf numFmtId="0" fontId="28" fillId="42" borderId="18" xfId="105" applyFont="1" applyFill="1" applyBorder="1" applyAlignment="1">
      <alignment horizontal="center" wrapText="1"/>
    </xf>
    <xf numFmtId="1" fontId="28" fillId="42" borderId="18" xfId="105" applyNumberFormat="1" applyFont="1" applyFill="1" applyBorder="1" applyAlignment="1">
      <alignment horizontal="center"/>
    </xf>
    <xf numFmtId="1" fontId="28" fillId="44" borderId="18" xfId="105" applyNumberFormat="1" applyFont="1" applyFill="1" applyBorder="1" applyAlignment="1">
      <alignment horizontal="center"/>
    </xf>
    <xf numFmtId="0" fontId="28" fillId="44" borderId="18" xfId="105" applyFont="1" applyFill="1" applyBorder="1" applyAlignment="1">
      <alignment horizontal="left"/>
    </xf>
    <xf numFmtId="0" fontId="28" fillId="44" borderId="18" xfId="105" applyFont="1" applyFill="1" applyBorder="1" applyAlignment="1">
      <alignment horizontal="center" wrapText="1"/>
    </xf>
    <xf numFmtId="0" fontId="28" fillId="44" borderId="18" xfId="105" applyFont="1" applyFill="1" applyBorder="1" applyAlignment="1">
      <alignment horizontal="left" wrapText="1"/>
    </xf>
    <xf numFmtId="0" fontId="41" fillId="27" borderId="0" xfId="0" applyFont="1" applyFill="1"/>
    <xf numFmtId="38" fontId="7" fillId="0" borderId="0" xfId="0" applyNumberFormat="1" applyFont="1" applyFill="1" applyBorder="1"/>
    <xf numFmtId="38" fontId="6" fillId="0" borderId="0" xfId="0" applyNumberFormat="1" applyFont="1" applyFill="1" applyBorder="1"/>
    <xf numFmtId="38" fontId="7" fillId="0" borderId="6" xfId="0" applyNumberFormat="1" applyFont="1" applyFill="1" applyBorder="1"/>
    <xf numFmtId="8" fontId="7" fillId="0" borderId="0" xfId="0" applyNumberFormat="1" applyFont="1" applyFill="1" applyBorder="1"/>
    <xf numFmtId="0" fontId="7" fillId="0" borderId="0" xfId="101" applyFont="1" applyFill="1" applyBorder="1"/>
    <xf numFmtId="1" fontId="45" fillId="32" borderId="0" xfId="105" applyNumberFormat="1" applyFont="1" applyFill="1" applyBorder="1" applyAlignment="1">
      <alignment horizontal="left"/>
    </xf>
    <xf numFmtId="1" fontId="45" fillId="34" borderId="0" xfId="105" applyNumberFormat="1" applyFont="1" applyFill="1" applyBorder="1" applyAlignment="1">
      <alignment horizontal="left"/>
    </xf>
    <xf numFmtId="1" fontId="45" fillId="45" borderId="0" xfId="105" applyNumberFormat="1" applyFont="1" applyFill="1" applyBorder="1" applyAlignment="1">
      <alignment horizontal="left"/>
    </xf>
    <xf numFmtId="1" fontId="45" fillId="38" borderId="0" xfId="105" applyNumberFormat="1" applyFont="1" applyFill="1" applyBorder="1" applyAlignment="1">
      <alignment horizontal="left"/>
    </xf>
    <xf numFmtId="43" fontId="6" fillId="0" borderId="0" xfId="29" applyFont="1" applyFill="1" applyBorder="1"/>
    <xf numFmtId="3" fontId="6" fillId="0" borderId="0" xfId="0" applyNumberFormat="1" applyFont="1" applyFill="1" applyBorder="1"/>
    <xf numFmtId="8" fontId="6" fillId="0" borderId="0" xfId="0" applyNumberFormat="1" applyFont="1" applyFill="1" applyBorder="1"/>
    <xf numFmtId="8" fontId="7" fillId="33" borderId="0" xfId="0" applyNumberFormat="1" applyFont="1" applyFill="1" applyBorder="1"/>
    <xf numFmtId="0" fontId="7" fillId="33" borderId="0" xfId="0" applyFont="1" applyFill="1" applyBorder="1"/>
    <xf numFmtId="38" fontId="7" fillId="33" borderId="0" xfId="0" applyNumberFormat="1" applyFont="1" applyFill="1" applyBorder="1"/>
    <xf numFmtId="38" fontId="6" fillId="33" borderId="0" xfId="0" applyNumberFormat="1" applyFont="1" applyFill="1" applyBorder="1"/>
    <xf numFmtId="8" fontId="46" fillId="33" borderId="0" xfId="0" applyNumberFormat="1" applyFont="1" applyFill="1" applyBorder="1"/>
    <xf numFmtId="0" fontId="6" fillId="0" borderId="30" xfId="0" applyFont="1" applyFill="1" applyBorder="1"/>
    <xf numFmtId="38" fontId="6" fillId="0" borderId="30" xfId="0" applyNumberFormat="1" applyFont="1" applyFill="1" applyBorder="1"/>
    <xf numFmtId="38" fontId="6" fillId="26" borderId="30" xfId="0" applyNumberFormat="1" applyFont="1" applyFill="1" applyBorder="1"/>
    <xf numFmtId="0" fontId="15" fillId="0" borderId="0" xfId="0" applyFont="1" applyFill="1" applyAlignment="1">
      <alignment wrapText="1"/>
    </xf>
    <xf numFmtId="38" fontId="7" fillId="0" borderId="40" xfId="0" applyNumberFormat="1" applyFont="1" applyFill="1" applyBorder="1"/>
    <xf numFmtId="0" fontId="6" fillId="0" borderId="38" xfId="0" applyFont="1" applyFill="1" applyBorder="1"/>
    <xf numFmtId="0" fontId="7" fillId="0" borderId="34" xfId="0" applyFont="1" applyFill="1" applyBorder="1"/>
    <xf numFmtId="0" fontId="6" fillId="0" borderId="6" xfId="0" applyFont="1" applyFill="1" applyBorder="1"/>
    <xf numFmtId="0" fontId="7" fillId="0" borderId="32" xfId="0" applyFont="1" applyFill="1" applyBorder="1"/>
    <xf numFmtId="0" fontId="6" fillId="0" borderId="40" xfId="0" applyFont="1" applyFill="1" applyBorder="1"/>
    <xf numFmtId="0" fontId="7" fillId="0" borderId="10" xfId="0" applyFont="1" applyFill="1" applyBorder="1"/>
    <xf numFmtId="0" fontId="6" fillId="0" borderId="44" xfId="0" applyFont="1" applyFill="1" applyBorder="1"/>
    <xf numFmtId="0" fontId="7" fillId="0" borderId="45" xfId="0" applyFont="1" applyFill="1" applyBorder="1"/>
    <xf numFmtId="38" fontId="6" fillId="0" borderId="44" xfId="0" applyNumberFormat="1" applyFont="1" applyFill="1" applyBorder="1"/>
    <xf numFmtId="38" fontId="7" fillId="0" borderId="38" xfId="0" applyNumberFormat="1" applyFont="1" applyFill="1" applyBorder="1"/>
    <xf numFmtId="38" fontId="7" fillId="0" borderId="37" xfId="0" applyNumberFormat="1" applyFont="1" applyFill="1" applyBorder="1"/>
    <xf numFmtId="0" fontId="6" fillId="0" borderId="44" xfId="0" applyFont="1" applyFill="1" applyBorder="1" applyAlignment="1">
      <alignment wrapText="1"/>
    </xf>
    <xf numFmtId="0" fontId="18" fillId="24" borderId="13" xfId="0" applyFont="1" applyFill="1" applyBorder="1" applyAlignment="1">
      <alignment wrapText="1"/>
    </xf>
    <xf numFmtId="0" fontId="18" fillId="24" borderId="13" xfId="0" applyFont="1" applyFill="1" applyBorder="1" applyAlignment="1">
      <alignment horizontal="center" wrapText="1"/>
    </xf>
    <xf numFmtId="9" fontId="18" fillId="24" borderId="13" xfId="109" applyFont="1" applyFill="1" applyBorder="1" applyAlignment="1">
      <alignment horizontal="center" wrapText="1"/>
    </xf>
    <xf numFmtId="38" fontId="6" fillId="0" borderId="43" xfId="0" applyNumberFormat="1" applyFont="1" applyFill="1" applyBorder="1" applyAlignment="1">
      <alignment horizontal="right" wrapText="1"/>
    </xf>
    <xf numFmtId="38" fontId="6" fillId="0" borderId="13" xfId="0" applyNumberFormat="1" applyFont="1" applyFill="1" applyBorder="1"/>
    <xf numFmtId="38" fontId="6" fillId="0" borderId="43" xfId="0" applyNumberFormat="1" applyFont="1" applyFill="1" applyBorder="1"/>
    <xf numFmtId="38" fontId="6" fillId="0" borderId="35" xfId="0" applyNumberFormat="1" applyFont="1" applyFill="1" applyBorder="1"/>
    <xf numFmtId="38" fontId="6" fillId="0" borderId="18" xfId="0" applyNumberFormat="1" applyFont="1" applyFill="1" applyBorder="1"/>
    <xf numFmtId="0" fontId="17" fillId="27" borderId="43" xfId="0" applyFont="1" applyFill="1" applyBorder="1"/>
    <xf numFmtId="0" fontId="26" fillId="46" borderId="43" xfId="0" applyFont="1" applyFill="1" applyBorder="1" applyAlignment="1">
      <alignment horizontal="center"/>
    </xf>
    <xf numFmtId="0" fontId="17" fillId="27" borderId="43" xfId="0" applyFont="1" applyFill="1" applyBorder="1" applyAlignment="1">
      <alignment horizontal="center"/>
    </xf>
    <xf numFmtId="38" fontId="6" fillId="0" borderId="38" xfId="0" applyNumberFormat="1" applyFont="1" applyFill="1" applyBorder="1"/>
    <xf numFmtId="0" fontId="20" fillId="0" borderId="0" xfId="0" applyFont="1" applyFill="1" applyBorder="1"/>
    <xf numFmtId="0" fontId="0" fillId="0" borderId="0" xfId="0" applyFill="1" applyBorder="1"/>
    <xf numFmtId="167" fontId="6" fillId="27" borderId="35" xfId="0" applyNumberFormat="1" applyFont="1" applyFill="1" applyBorder="1" applyAlignment="1">
      <alignment horizontal="center" wrapText="1"/>
    </xf>
    <xf numFmtId="3" fontId="7" fillId="27" borderId="18" xfId="0" applyNumberFormat="1" applyFont="1" applyFill="1" applyBorder="1"/>
    <xf numFmtId="3" fontId="7" fillId="27" borderId="36" xfId="0" applyNumberFormat="1" applyFont="1" applyFill="1" applyBorder="1"/>
    <xf numFmtId="3" fontId="6" fillId="27" borderId="18" xfId="0" applyNumberFormat="1" applyFont="1" applyFill="1" applyBorder="1"/>
    <xf numFmtId="167" fontId="7" fillId="27" borderId="18" xfId="0" applyNumberFormat="1" applyFont="1" applyFill="1" applyBorder="1"/>
    <xf numFmtId="3" fontId="6" fillId="27" borderId="42" xfId="0" applyNumberFormat="1" applyFont="1" applyFill="1" applyBorder="1"/>
    <xf numFmtId="38" fontId="6" fillId="0" borderId="32" xfId="0" applyNumberFormat="1" applyFont="1" applyFill="1" applyBorder="1"/>
    <xf numFmtId="0" fontId="7" fillId="0" borderId="6" xfId="0" applyFont="1" applyBorder="1" applyAlignment="1">
      <alignment horizontal="left"/>
    </xf>
    <xf numFmtId="38" fontId="6" fillId="0" borderId="45" xfId="0" applyNumberFormat="1" applyFont="1" applyFill="1" applyBorder="1" applyAlignment="1">
      <alignment horizontal="right" wrapText="1"/>
    </xf>
    <xf numFmtId="38" fontId="7" fillId="0" borderId="18" xfId="0" applyNumberFormat="1" applyFont="1" applyFill="1" applyBorder="1"/>
    <xf numFmtId="38" fontId="6" fillId="0" borderId="45" xfId="0" applyNumberFormat="1" applyFont="1" applyFill="1" applyBorder="1"/>
    <xf numFmtId="0" fontId="6" fillId="0" borderId="44" xfId="0" applyFont="1" applyBorder="1" applyAlignment="1">
      <alignment horizontal="center"/>
    </xf>
    <xf numFmtId="0" fontId="6" fillId="0" borderId="44" xfId="0" applyFont="1" applyBorder="1" applyAlignment="1">
      <alignment horizontal="left"/>
    </xf>
    <xf numFmtId="0" fontId="7" fillId="0" borderId="0" xfId="0" applyFont="1" applyFill="1" applyAlignment="1">
      <alignment horizontal="center"/>
    </xf>
    <xf numFmtId="9" fontId="18" fillId="26" borderId="13" xfId="109" applyFont="1" applyFill="1" applyBorder="1" applyAlignment="1">
      <alignment horizontal="center" wrapText="1"/>
    </xf>
    <xf numFmtId="166" fontId="7" fillId="0" borderId="0" xfId="109" applyNumberFormat="1" applyFont="1" applyFill="1" applyAlignment="1">
      <alignment horizontal="center"/>
    </xf>
    <xf numFmtId="9" fontId="18" fillId="26" borderId="45" xfId="109" applyFont="1" applyFill="1" applyBorder="1" applyAlignment="1">
      <alignment horizontal="center" wrapText="1"/>
    </xf>
    <xf numFmtId="165" fontId="7" fillId="26" borderId="32" xfId="29" applyNumberFormat="1" applyFont="1" applyFill="1" applyBorder="1" applyAlignment="1">
      <alignment horizontal="center"/>
    </xf>
    <xf numFmtId="10" fontId="7" fillId="26" borderId="32" xfId="29" applyNumberFormat="1" applyFont="1" applyFill="1" applyBorder="1" applyAlignment="1">
      <alignment horizontal="center"/>
    </xf>
    <xf numFmtId="38" fontId="6" fillId="26" borderId="41" xfId="0" applyNumberFormat="1" applyFont="1" applyFill="1" applyBorder="1"/>
    <xf numFmtId="38" fontId="6" fillId="26" borderId="39" xfId="0" applyNumberFormat="1" applyFont="1" applyFill="1" applyBorder="1" applyAlignment="1">
      <alignment horizontal="center"/>
    </xf>
    <xf numFmtId="9" fontId="18" fillId="26" borderId="44" xfId="109" applyFont="1" applyFill="1" applyBorder="1" applyAlignment="1">
      <alignment horizontal="center" wrapText="1"/>
    </xf>
    <xf numFmtId="9" fontId="7" fillId="26" borderId="6" xfId="29" applyNumberFormat="1" applyFont="1" applyFill="1" applyBorder="1"/>
    <xf numFmtId="9" fontId="7" fillId="26" borderId="0" xfId="29" applyNumberFormat="1" applyFont="1" applyFill="1" applyBorder="1"/>
    <xf numFmtId="9" fontId="6" fillId="26" borderId="6" xfId="0" applyNumberFormat="1" applyFont="1" applyFill="1" applyBorder="1"/>
    <xf numFmtId="9" fontId="6" fillId="26" borderId="0" xfId="0" applyNumberFormat="1" applyFont="1" applyFill="1" applyBorder="1"/>
    <xf numFmtId="9" fontId="7" fillId="26" borderId="0" xfId="0" applyNumberFormat="1" applyFont="1" applyFill="1" applyBorder="1"/>
    <xf numFmtId="9" fontId="7" fillId="26" borderId="0" xfId="109" applyNumberFormat="1" applyFont="1" applyFill="1" applyBorder="1"/>
    <xf numFmtId="38" fontId="6" fillId="0" borderId="13" xfId="0" applyNumberFormat="1" applyFont="1" applyFill="1" applyBorder="1" applyAlignment="1">
      <alignment horizontal="center" wrapText="1"/>
    </xf>
    <xf numFmtId="38" fontId="6" fillId="0" borderId="43" xfId="0" applyNumberFormat="1" applyFont="1" applyFill="1" applyBorder="1" applyAlignment="1">
      <alignment horizontal="center" wrapText="1"/>
    </xf>
    <xf numFmtId="165" fontId="6" fillId="0" borderId="18" xfId="29" applyNumberFormat="1" applyFont="1" applyFill="1" applyBorder="1"/>
    <xf numFmtId="0" fontId="18" fillId="24" borderId="43" xfId="0" applyFont="1" applyFill="1" applyBorder="1" applyAlignment="1">
      <alignment horizontal="center" wrapText="1"/>
    </xf>
    <xf numFmtId="38" fontId="6" fillId="24" borderId="18" xfId="0" applyNumberFormat="1" applyFont="1" applyFill="1" applyBorder="1" applyAlignment="1">
      <alignment horizontal="center"/>
    </xf>
    <xf numFmtId="38" fontId="7" fillId="24" borderId="18" xfId="0" applyNumberFormat="1" applyFont="1" applyFill="1" applyBorder="1" applyAlignment="1">
      <alignment horizontal="center"/>
    </xf>
    <xf numFmtId="38" fontId="6" fillId="24" borderId="42" xfId="0" applyNumberFormat="1" applyFont="1" applyFill="1" applyBorder="1"/>
    <xf numFmtId="165" fontId="7" fillId="0" borderId="0" xfId="29" applyNumberFormat="1" applyFont="1" applyFill="1" applyBorder="1"/>
    <xf numFmtId="165" fontId="7" fillId="0" borderId="0" xfId="0" applyNumberFormat="1" applyFont="1" applyFill="1" applyBorder="1"/>
    <xf numFmtId="166" fontId="7" fillId="0" borderId="0" xfId="109" applyNumberFormat="1" applyFont="1" applyFill="1" applyBorder="1"/>
    <xf numFmtId="0" fontId="18" fillId="24" borderId="45" xfId="0" applyFont="1" applyFill="1" applyBorder="1" applyAlignment="1">
      <alignment horizontal="center" wrapText="1"/>
    </xf>
    <xf numFmtId="38" fontId="6" fillId="0" borderId="39" xfId="0" applyNumberFormat="1" applyFont="1" applyFill="1" applyBorder="1"/>
    <xf numFmtId="165" fontId="7" fillId="0" borderId="18" xfId="29" applyNumberFormat="1" applyFont="1" applyFill="1" applyBorder="1"/>
    <xf numFmtId="165" fontId="7" fillId="0" borderId="18" xfId="0" applyNumberFormat="1" applyFont="1" applyFill="1" applyBorder="1"/>
    <xf numFmtId="38" fontId="6" fillId="0" borderId="42" xfId="0" applyNumberFormat="1" applyFont="1" applyFill="1" applyBorder="1"/>
    <xf numFmtId="38" fontId="7" fillId="0" borderId="0" xfId="0" applyNumberFormat="1" applyFont="1" applyFill="1"/>
    <xf numFmtId="38" fontId="6" fillId="24" borderId="18" xfId="0" applyNumberFormat="1" applyFont="1" applyFill="1" applyBorder="1"/>
    <xf numFmtId="9" fontId="6" fillId="24" borderId="18" xfId="109" applyFont="1" applyFill="1" applyBorder="1"/>
    <xf numFmtId="38" fontId="7" fillId="0" borderId="32" xfId="0" applyNumberFormat="1" applyFont="1" applyFill="1" applyBorder="1"/>
    <xf numFmtId="38" fontId="6" fillId="0" borderId="6" xfId="0" applyNumberFormat="1" applyFont="1" applyFill="1" applyBorder="1"/>
    <xf numFmtId="38" fontId="7" fillId="33" borderId="6" xfId="0" applyNumberFormat="1" applyFont="1" applyFill="1" applyBorder="1"/>
    <xf numFmtId="38" fontId="7" fillId="33" borderId="32" xfId="0" applyNumberFormat="1" applyFont="1" applyFill="1" applyBorder="1"/>
    <xf numFmtId="0" fontId="7" fillId="0" borderId="6" xfId="0" applyFont="1" applyFill="1" applyBorder="1"/>
    <xf numFmtId="38" fontId="6" fillId="0" borderId="41" xfId="0" applyNumberFormat="1" applyFont="1" applyFill="1" applyBorder="1"/>
    <xf numFmtId="0" fontId="18" fillId="24" borderId="44" xfId="0" applyFont="1" applyFill="1" applyBorder="1" applyAlignment="1">
      <alignment horizontal="center" wrapText="1"/>
    </xf>
    <xf numFmtId="9" fontId="7" fillId="47" borderId="0" xfId="29" applyNumberFormat="1" applyFont="1" applyFill="1" applyBorder="1"/>
    <xf numFmtId="0" fontId="7" fillId="0" borderId="0" xfId="0" applyFont="1" applyFill="1" applyBorder="1" applyAlignment="1">
      <alignment wrapText="1"/>
    </xf>
    <xf numFmtId="38" fontId="7" fillId="27" borderId="0" xfId="32" applyNumberFormat="1" applyFont="1" applyFill="1" applyAlignment="1">
      <alignment horizontal="right"/>
    </xf>
    <xf numFmtId="0" fontId="7" fillId="27" borderId="0" xfId="103" applyFont="1" applyFill="1"/>
    <xf numFmtId="0" fontId="7" fillId="0" borderId="0" xfId="103" applyFont="1"/>
    <xf numFmtId="0" fontId="6" fillId="27" borderId="44" xfId="103" applyFont="1" applyFill="1" applyBorder="1"/>
    <xf numFmtId="38" fontId="6" fillId="24" borderId="44" xfId="32" applyNumberFormat="1" applyFont="1" applyFill="1" applyBorder="1" applyAlignment="1" applyProtection="1">
      <alignment horizontal="center" wrapText="1"/>
      <protection locked="0"/>
    </xf>
    <xf numFmtId="38" fontId="6" fillId="44" borderId="44" xfId="32" applyNumberFormat="1" applyFont="1" applyFill="1" applyBorder="1" applyAlignment="1" applyProtection="1">
      <alignment horizontal="center" wrapText="1"/>
      <protection locked="0"/>
    </xf>
    <xf numFmtId="0" fontId="6" fillId="26" borderId="44" xfId="103" applyFont="1" applyFill="1" applyBorder="1" applyAlignment="1">
      <alignment horizontal="center" wrapText="1"/>
    </xf>
    <xf numFmtId="38" fontId="6" fillId="26" borderId="45" xfId="32" applyNumberFormat="1" applyFont="1" applyFill="1" applyBorder="1" applyAlignment="1" applyProtection="1">
      <alignment horizontal="center" wrapText="1"/>
      <protection locked="0"/>
    </xf>
    <xf numFmtId="38" fontId="6" fillId="0" borderId="0" xfId="32" applyNumberFormat="1" applyFont="1" applyFill="1" applyBorder="1" applyAlignment="1" applyProtection="1">
      <alignment horizontal="center" wrapText="1"/>
      <protection locked="0"/>
    </xf>
    <xf numFmtId="0" fontId="6" fillId="44" borderId="43" xfId="102" applyFont="1" applyFill="1" applyBorder="1" applyAlignment="1" applyProtection="1">
      <alignment horizontal="center" wrapText="1"/>
      <protection locked="0"/>
    </xf>
    <xf numFmtId="0" fontId="6" fillId="24" borderId="43" xfId="103" applyFont="1" applyFill="1" applyBorder="1" applyAlignment="1" applyProtection="1">
      <alignment horizontal="center" wrapText="1"/>
      <protection locked="0"/>
    </xf>
    <xf numFmtId="0" fontId="6" fillId="44" borderId="43" xfId="103" applyFont="1" applyFill="1" applyBorder="1" applyAlignment="1" applyProtection="1">
      <alignment horizontal="center" wrapText="1"/>
      <protection locked="0"/>
    </xf>
    <xf numFmtId="0" fontId="6" fillId="26" borderId="44" xfId="103" applyFont="1" applyFill="1" applyBorder="1" applyAlignment="1" applyProtection="1">
      <alignment horizontal="center" wrapText="1"/>
      <protection locked="0"/>
    </xf>
    <xf numFmtId="0" fontId="6" fillId="26" borderId="45" xfId="103" applyFont="1" applyFill="1" applyBorder="1" applyAlignment="1" applyProtection="1">
      <alignment horizontal="center" wrapText="1"/>
      <protection locked="0"/>
    </xf>
    <xf numFmtId="0" fontId="6" fillId="27" borderId="6" xfId="103" applyFont="1" applyFill="1" applyBorder="1" applyAlignment="1" applyProtection="1">
      <alignment horizontal="left"/>
      <protection locked="0"/>
    </xf>
    <xf numFmtId="38" fontId="7" fillId="27" borderId="6" xfId="32" quotePrefix="1" applyNumberFormat="1" applyFont="1" applyFill="1" applyBorder="1" applyAlignment="1" applyProtection="1">
      <alignment horizontal="right"/>
      <protection locked="0"/>
    </xf>
    <xf numFmtId="38" fontId="7" fillId="27" borderId="6" xfId="103" applyNumberFormat="1" applyFont="1" applyFill="1" applyBorder="1"/>
    <xf numFmtId="10" fontId="7" fillId="0" borderId="0" xfId="109" quotePrefix="1" applyNumberFormat="1" applyFont="1" applyFill="1" applyBorder="1" applyAlignment="1" applyProtection="1">
      <alignment horizontal="right"/>
      <protection locked="0"/>
    </xf>
    <xf numFmtId="174" fontId="7" fillId="27" borderId="18" xfId="103" applyNumberFormat="1" applyFont="1" applyFill="1" applyBorder="1" applyProtection="1">
      <protection locked="0"/>
    </xf>
    <xf numFmtId="175" fontId="7" fillId="27" borderId="6" xfId="0" applyNumberFormat="1" applyFont="1" applyFill="1" applyBorder="1"/>
    <xf numFmtId="172" fontId="7" fillId="27" borderId="32" xfId="109" applyNumberFormat="1" applyFont="1" applyFill="1" applyBorder="1"/>
    <xf numFmtId="0" fontId="7" fillId="27" borderId="6" xfId="103" applyFont="1" applyFill="1" applyBorder="1" applyAlignment="1" applyProtection="1">
      <alignment horizontal="left"/>
      <protection locked="0"/>
    </xf>
    <xf numFmtId="174" fontId="7" fillId="27" borderId="6" xfId="103" applyNumberFormat="1" applyFont="1" applyFill="1" applyBorder="1" applyProtection="1">
      <protection locked="0"/>
    </xf>
    <xf numFmtId="0" fontId="7" fillId="27" borderId="6" xfId="103" applyFont="1" applyFill="1" applyBorder="1"/>
    <xf numFmtId="38" fontId="7" fillId="27" borderId="6" xfId="32" applyNumberFormat="1" applyFont="1" applyFill="1" applyBorder="1" applyAlignment="1">
      <alignment horizontal="right"/>
    </xf>
    <xf numFmtId="38" fontId="7" fillId="27" borderId="32" xfId="32" applyNumberFormat="1" applyFont="1" applyFill="1" applyBorder="1" applyAlignment="1">
      <alignment horizontal="right"/>
    </xf>
    <xf numFmtId="38" fontId="7" fillId="27" borderId="0" xfId="32" applyNumberFormat="1" applyFont="1" applyFill="1" applyBorder="1" applyAlignment="1">
      <alignment horizontal="right"/>
    </xf>
    <xf numFmtId="0" fontId="7" fillId="27" borderId="18" xfId="103" applyFont="1" applyFill="1" applyBorder="1"/>
    <xf numFmtId="38" fontId="7" fillId="0" borderId="0" xfId="32" applyNumberFormat="1" applyFont="1" applyFill="1" applyBorder="1" applyAlignment="1">
      <alignment horizontal="right"/>
    </xf>
    <xf numFmtId="10" fontId="6" fillId="0" borderId="0" xfId="109" quotePrefix="1" applyNumberFormat="1" applyFont="1" applyFill="1" applyBorder="1" applyAlignment="1" applyProtection="1">
      <alignment horizontal="right"/>
      <protection locked="0"/>
    </xf>
    <xf numFmtId="38" fontId="6" fillId="27" borderId="41" xfId="32" applyNumberFormat="1" applyFont="1" applyFill="1" applyBorder="1" applyProtection="1">
      <protection locked="0"/>
    </xf>
    <xf numFmtId="174" fontId="6" fillId="27" borderId="42" xfId="103" applyNumberFormat="1" applyFont="1" applyFill="1" applyBorder="1" applyProtection="1">
      <protection locked="0"/>
    </xf>
    <xf numFmtId="174" fontId="6" fillId="27" borderId="41" xfId="103" applyNumberFormat="1" applyFont="1" applyFill="1" applyBorder="1" applyProtection="1">
      <protection locked="0"/>
    </xf>
    <xf numFmtId="9" fontId="6" fillId="27" borderId="39" xfId="109" applyFont="1" applyFill="1" applyBorder="1" applyProtection="1">
      <protection locked="0"/>
    </xf>
    <xf numFmtId="37" fontId="6" fillId="27" borderId="0" xfId="103" applyNumberFormat="1" applyFont="1" applyFill="1" applyBorder="1" applyAlignment="1">
      <alignment horizontal="right"/>
    </xf>
    <xf numFmtId="37" fontId="7" fillId="27" borderId="0" xfId="103" applyNumberFormat="1" applyFont="1" applyFill="1" applyBorder="1"/>
    <xf numFmtId="0" fontId="7" fillId="27" borderId="0" xfId="103" applyFont="1" applyFill="1" applyBorder="1"/>
    <xf numFmtId="0" fontId="7" fillId="0" borderId="0" xfId="103" applyFont="1" applyBorder="1"/>
    <xf numFmtId="38" fontId="7" fillId="0" borderId="0" xfId="32" applyNumberFormat="1" applyFont="1" applyAlignment="1">
      <alignment horizontal="right"/>
    </xf>
    <xf numFmtId="10" fontId="7" fillId="27" borderId="0" xfId="109" applyNumberFormat="1" applyFont="1" applyFill="1"/>
    <xf numFmtId="37" fontId="7" fillId="28" borderId="17" xfId="0" applyNumberFormat="1" applyFont="1" applyFill="1" applyBorder="1"/>
    <xf numFmtId="165" fontId="7" fillId="28" borderId="18" xfId="29" applyNumberFormat="1" applyFont="1" applyFill="1" applyBorder="1"/>
    <xf numFmtId="2" fontId="7" fillId="28" borderId="15" xfId="0" applyNumberFormat="1" applyFont="1" applyFill="1" applyBorder="1"/>
    <xf numFmtId="2" fontId="7" fillId="28" borderId="17" xfId="0" applyNumberFormat="1" applyFont="1" applyFill="1" applyBorder="1"/>
    <xf numFmtId="2" fontId="7" fillId="28" borderId="20" xfId="0" applyNumberFormat="1" applyFont="1" applyFill="1" applyBorder="1"/>
    <xf numFmtId="37" fontId="7" fillId="26" borderId="17" xfId="0" applyNumberFormat="1" applyFont="1" applyFill="1" applyBorder="1"/>
    <xf numFmtId="165" fontId="7" fillId="26" borderId="18" xfId="29" applyNumberFormat="1" applyFont="1" applyFill="1" applyBorder="1"/>
    <xf numFmtId="2" fontId="7" fillId="26" borderId="15" xfId="0" applyNumberFormat="1" applyFont="1" applyFill="1" applyBorder="1"/>
    <xf numFmtId="2" fontId="7" fillId="26" borderId="17" xfId="0" applyNumberFormat="1" applyFont="1" applyFill="1" applyBorder="1"/>
    <xf numFmtId="2" fontId="7" fillId="26" borderId="20" xfId="0" applyNumberFormat="1" applyFont="1" applyFill="1" applyBorder="1"/>
    <xf numFmtId="37" fontId="7" fillId="29" borderId="17" xfId="0" applyNumberFormat="1" applyFont="1" applyFill="1" applyBorder="1"/>
    <xf numFmtId="165" fontId="7" fillId="29" borderId="18" xfId="29" applyNumberFormat="1" applyFont="1" applyFill="1" applyBorder="1"/>
    <xf numFmtId="2" fontId="7" fillId="29" borderId="15" xfId="0" applyNumberFormat="1" applyFont="1" applyFill="1" applyBorder="1"/>
    <xf numFmtId="2" fontId="7" fillId="29" borderId="17" xfId="0" applyNumberFormat="1" applyFont="1" applyFill="1" applyBorder="1"/>
    <xf numFmtId="2" fontId="7" fillId="29" borderId="20" xfId="0" applyNumberFormat="1" applyFont="1" applyFill="1" applyBorder="1"/>
    <xf numFmtId="0" fontId="7" fillId="0" borderId="17" xfId="0" applyFont="1" applyBorder="1"/>
    <xf numFmtId="165" fontId="7" fillId="0" borderId="18" xfId="29" applyNumberFormat="1" applyFont="1" applyBorder="1"/>
    <xf numFmtId="2" fontId="7" fillId="0" borderId="15" xfId="0" applyNumberFormat="1" applyFont="1" applyBorder="1"/>
    <xf numFmtId="2" fontId="7" fillId="0" borderId="17" xfId="0" applyNumberFormat="1" applyFont="1" applyBorder="1"/>
    <xf numFmtId="2" fontId="7" fillId="0" borderId="20" xfId="0" applyNumberFormat="1" applyFont="1" applyBorder="1"/>
    <xf numFmtId="0" fontId="7" fillId="27" borderId="46" xfId="0" applyFont="1" applyFill="1" applyBorder="1"/>
    <xf numFmtId="3" fontId="7" fillId="28" borderId="0" xfId="0" applyNumberFormat="1" applyFont="1" applyFill="1"/>
    <xf numFmtId="2" fontId="7" fillId="27" borderId="0" xfId="0" applyNumberFormat="1" applyFont="1" applyFill="1"/>
    <xf numFmtId="3" fontId="7" fillId="26" borderId="0" xfId="0" applyNumberFormat="1" applyFont="1" applyFill="1"/>
    <xf numFmtId="3" fontId="7" fillId="27" borderId="0" xfId="0" applyNumberFormat="1" applyFont="1" applyFill="1" applyAlignment="1">
      <alignment horizontal="center"/>
    </xf>
    <xf numFmtId="3" fontId="7" fillId="29" borderId="0" xfId="0" applyNumberFormat="1" applyFont="1" applyFill="1"/>
    <xf numFmtId="3" fontId="7" fillId="0" borderId="0" xfId="0" applyNumberFormat="1" applyFont="1"/>
    <xf numFmtId="168" fontId="7" fillId="0" borderId="0" xfId="0" applyNumberFormat="1" applyFont="1"/>
    <xf numFmtId="169" fontId="7" fillId="0" borderId="0" xfId="0" applyNumberFormat="1" applyFont="1" applyFill="1"/>
    <xf numFmtId="38" fontId="7" fillId="27" borderId="47" xfId="0" applyNumberFormat="1" applyFont="1" applyFill="1" applyBorder="1"/>
    <xf numFmtId="38" fontId="7" fillId="27" borderId="22" xfId="0" applyNumberFormat="1" applyFont="1" applyFill="1" applyBorder="1"/>
    <xf numFmtId="38" fontId="6" fillId="27" borderId="22" xfId="0" applyNumberFormat="1" applyFont="1" applyFill="1" applyBorder="1"/>
    <xf numFmtId="38" fontId="6" fillId="26" borderId="48" xfId="0" applyNumberFormat="1" applyFont="1" applyFill="1" applyBorder="1"/>
    <xf numFmtId="0" fontId="7" fillId="43" borderId="0" xfId="0" applyFont="1" applyFill="1" applyBorder="1" applyAlignment="1"/>
    <xf numFmtId="38" fontId="7" fillId="43" borderId="0" xfId="0" applyNumberFormat="1" applyFont="1" applyFill="1" applyBorder="1"/>
    <xf numFmtId="38" fontId="7" fillId="43" borderId="0" xfId="29" applyNumberFormat="1" applyFont="1" applyFill="1" applyBorder="1" applyAlignment="1"/>
    <xf numFmtId="0" fontId="7" fillId="43" borderId="0" xfId="0" applyFont="1" applyFill="1" applyBorder="1"/>
    <xf numFmtId="43" fontId="7" fillId="43" borderId="0" xfId="29" applyFont="1" applyFill="1" applyBorder="1" applyAlignment="1"/>
    <xf numFmtId="0" fontId="6" fillId="26" borderId="48" xfId="0" applyFont="1" applyFill="1" applyBorder="1" applyAlignment="1">
      <alignment horizontal="center" wrapText="1"/>
    </xf>
    <xf numFmtId="0" fontId="6" fillId="0" borderId="14" xfId="0" applyFont="1" applyFill="1" applyBorder="1"/>
    <xf numFmtId="38" fontId="6" fillId="0" borderId="23" xfId="0" applyNumberFormat="1" applyFont="1" applyFill="1" applyBorder="1"/>
    <xf numFmtId="38" fontId="6" fillId="0" borderId="48" xfId="0" applyNumberFormat="1" applyFont="1" applyFill="1" applyBorder="1"/>
    <xf numFmtId="165" fontId="3" fillId="26" borderId="0" xfId="29" applyNumberFormat="1" applyFill="1"/>
    <xf numFmtId="0" fontId="27" fillId="30" borderId="43" xfId="106" applyFont="1" applyFill="1" applyBorder="1" applyAlignment="1">
      <alignment wrapText="1"/>
    </xf>
    <xf numFmtId="0" fontId="27" fillId="30" borderId="43" xfId="106" applyFont="1" applyFill="1" applyBorder="1" applyAlignment="1">
      <alignment horizontal="left" wrapText="1"/>
    </xf>
    <xf numFmtId="1" fontId="27" fillId="30" borderId="43" xfId="106" applyNumberFormat="1" applyFont="1" applyFill="1" applyBorder="1" applyAlignment="1">
      <alignment horizontal="center" wrapText="1"/>
    </xf>
    <xf numFmtId="0" fontId="28" fillId="32" borderId="18" xfId="105" applyFont="1" applyFill="1" applyBorder="1" applyAlignment="1"/>
    <xf numFmtId="40" fontId="28" fillId="0" borderId="0" xfId="105" applyNumberFormat="1" applyFont="1" applyFill="1" applyBorder="1" applyAlignment="1">
      <alignment horizontal="right" wrapText="1"/>
    </xf>
    <xf numFmtId="0" fontId="28" fillId="34" borderId="18" xfId="105" applyFont="1" applyFill="1" applyBorder="1" applyAlignment="1"/>
    <xf numFmtId="0" fontId="28" fillId="45" borderId="18" xfId="105" applyFont="1" applyFill="1" applyBorder="1" applyAlignment="1"/>
    <xf numFmtId="0" fontId="28" fillId="0" borderId="0" xfId="105" applyFont="1" applyFill="1" applyBorder="1" applyAlignment="1">
      <alignment horizontal="left" wrapText="1"/>
    </xf>
    <xf numFmtId="0" fontId="28" fillId="35" borderId="18" xfId="105" applyFont="1" applyFill="1" applyBorder="1" applyAlignment="1"/>
    <xf numFmtId="0" fontId="28" fillId="35" borderId="18" xfId="105" applyFont="1" applyFill="1" applyBorder="1" applyAlignment="1">
      <alignment wrapText="1"/>
    </xf>
    <xf numFmtId="0" fontId="28" fillId="36" borderId="18" xfId="105" applyFont="1" applyFill="1" applyBorder="1" applyAlignment="1"/>
    <xf numFmtId="0" fontId="28" fillId="37" borderId="18" xfId="105" applyFont="1" applyFill="1" applyBorder="1" applyAlignment="1"/>
    <xf numFmtId="0" fontId="28" fillId="38" borderId="18" xfId="105" applyFont="1" applyFill="1" applyBorder="1" applyAlignment="1"/>
    <xf numFmtId="0" fontId="28" fillId="40" borderId="18" xfId="105" applyFont="1" applyFill="1" applyBorder="1" applyAlignment="1"/>
    <xf numFmtId="0" fontId="14" fillId="42" borderId="18" xfId="105" applyFont="1" applyFill="1" applyBorder="1" applyAlignment="1"/>
    <xf numFmtId="0" fontId="28" fillId="42" borderId="18" xfId="105" applyFont="1" applyFill="1" applyBorder="1" applyAlignment="1"/>
    <xf numFmtId="0" fontId="28" fillId="44" borderId="18" xfId="105" applyFont="1" applyFill="1" applyBorder="1" applyAlignment="1"/>
    <xf numFmtId="1" fontId="45" fillId="44" borderId="0" xfId="105" applyNumberFormat="1" applyFont="1" applyFill="1" applyBorder="1" applyAlignment="1">
      <alignment horizontal="left"/>
    </xf>
    <xf numFmtId="0" fontId="28" fillId="32" borderId="18" xfId="105" applyFont="1" applyFill="1" applyBorder="1" applyAlignment="1">
      <alignment wrapText="1" readingOrder="1"/>
    </xf>
    <xf numFmtId="0" fontId="28" fillId="34" borderId="18" xfId="105" applyFont="1" applyFill="1" applyBorder="1" applyAlignment="1">
      <alignment wrapText="1" readingOrder="1"/>
    </xf>
    <xf numFmtId="0" fontId="28" fillId="34" borderId="18" xfId="105" applyFont="1" applyFill="1" applyBorder="1" applyAlignment="1">
      <alignment horizontal="left" wrapText="1" readingOrder="1"/>
    </xf>
    <xf numFmtId="0" fontId="28" fillId="48" borderId="18" xfId="105" applyFont="1" applyFill="1" applyBorder="1" applyAlignment="1">
      <alignment horizontal="left" wrapText="1"/>
    </xf>
    <xf numFmtId="0" fontId="28" fillId="48" borderId="18" xfId="105" applyFont="1" applyFill="1" applyBorder="1" applyAlignment="1">
      <alignment horizontal="left"/>
    </xf>
    <xf numFmtId="0" fontId="28" fillId="48" borderId="18" xfId="105" applyFont="1" applyFill="1" applyBorder="1" applyAlignment="1">
      <alignment horizontal="left" wrapText="1" readingOrder="1"/>
    </xf>
    <xf numFmtId="1" fontId="28" fillId="48" borderId="18" xfId="105" applyNumberFormat="1" applyFont="1" applyFill="1" applyBorder="1" applyAlignment="1">
      <alignment horizontal="center"/>
    </xf>
    <xf numFmtId="15" fontId="28" fillId="48" borderId="18" xfId="105" applyNumberFormat="1" applyFont="1" applyFill="1" applyBorder="1" applyAlignment="1">
      <alignment horizontal="left" wrapText="1"/>
    </xf>
    <xf numFmtId="0" fontId="28" fillId="35" borderId="18" xfId="105" applyFont="1" applyFill="1" applyBorder="1" applyAlignment="1">
      <alignment horizontal="left" wrapText="1" readingOrder="1"/>
    </xf>
    <xf numFmtId="0" fontId="28" fillId="36" borderId="18" xfId="105" applyFont="1" applyFill="1" applyBorder="1" applyAlignment="1">
      <alignment horizontal="left" wrapText="1" readingOrder="1"/>
    </xf>
    <xf numFmtId="0" fontId="28" fillId="37" borderId="18" xfId="105" applyFont="1" applyFill="1" applyBorder="1" applyAlignment="1">
      <alignment horizontal="left" wrapText="1" readingOrder="1"/>
    </xf>
    <xf numFmtId="0" fontId="28" fillId="40" borderId="18" xfId="105" applyFont="1" applyFill="1" applyBorder="1" applyAlignment="1">
      <alignment horizontal="left" wrapText="1" readingOrder="1"/>
    </xf>
    <xf numFmtId="0" fontId="14" fillId="42" borderId="18" xfId="105" applyFont="1" applyFill="1" applyBorder="1" applyAlignment="1">
      <alignment horizontal="left" wrapText="1"/>
    </xf>
    <xf numFmtId="0" fontId="28" fillId="42" borderId="18" xfId="105" applyFont="1" applyFill="1" applyBorder="1" applyAlignment="1">
      <alignment horizontal="left" wrapText="1" readingOrder="1"/>
    </xf>
    <xf numFmtId="0" fontId="14" fillId="0" borderId="18" xfId="105" applyFont="1" applyFill="1" applyBorder="1" applyAlignment="1">
      <alignment horizontal="left" wrapText="1"/>
    </xf>
    <xf numFmtId="0" fontId="28" fillId="0" borderId="18" xfId="105" applyFont="1" applyFill="1" applyBorder="1" applyAlignment="1">
      <alignment horizontal="left"/>
    </xf>
    <xf numFmtId="0" fontId="28" fillId="0" borderId="18" xfId="105" applyFont="1" applyFill="1" applyBorder="1" applyAlignment="1">
      <alignment horizontal="left" wrapText="1" readingOrder="1"/>
    </xf>
    <xf numFmtId="0" fontId="14" fillId="0" borderId="18" xfId="105" applyFont="1" applyFill="1" applyBorder="1" applyAlignment="1">
      <alignment horizontal="left"/>
    </xf>
    <xf numFmtId="1" fontId="14" fillId="0" borderId="18" xfId="105" applyNumberFormat="1" applyFont="1" applyFill="1" applyBorder="1" applyAlignment="1">
      <alignment horizontal="center"/>
    </xf>
    <xf numFmtId="0" fontId="28" fillId="0" borderId="18" xfId="105" applyFont="1" applyFill="1" applyBorder="1" applyAlignment="1">
      <alignment horizontal="left" wrapText="1"/>
    </xf>
    <xf numFmtId="38" fontId="7" fillId="27" borderId="0" xfId="29" applyNumberFormat="1" applyFont="1" applyFill="1"/>
    <xf numFmtId="0" fontId="7" fillId="27" borderId="37" xfId="104" applyFont="1" applyFill="1" applyBorder="1"/>
    <xf numFmtId="0" fontId="7" fillId="0" borderId="0" xfId="104" applyFont="1"/>
    <xf numFmtId="0" fontId="7" fillId="27" borderId="0" xfId="104" applyFont="1" applyFill="1" applyBorder="1"/>
    <xf numFmtId="38" fontId="7" fillId="0" borderId="0" xfId="34" applyNumberFormat="1" applyFont="1"/>
    <xf numFmtId="0" fontId="7" fillId="0" borderId="0" xfId="104" applyFont="1" applyFill="1"/>
    <xf numFmtId="0" fontId="3" fillId="31" borderId="19" xfId="0" applyFont="1" applyFill="1" applyBorder="1"/>
    <xf numFmtId="0" fontId="7" fillId="0" borderId="0" xfId="103" applyFont="1" applyFill="1"/>
    <xf numFmtId="0" fontId="7" fillId="0" borderId="0" xfId="103" applyFont="1" applyFill="1" applyBorder="1"/>
    <xf numFmtId="0" fontId="7" fillId="43" borderId="38" xfId="103" quotePrefix="1" applyFont="1" applyFill="1" applyBorder="1"/>
    <xf numFmtId="0" fontId="7" fillId="43" borderId="34" xfId="103" applyFont="1" applyFill="1" applyBorder="1"/>
    <xf numFmtId="0" fontId="7" fillId="43" borderId="6" xfId="103" applyFont="1" applyFill="1" applyBorder="1"/>
    <xf numFmtId="0" fontId="7" fillId="43" borderId="32" xfId="103" applyFont="1" applyFill="1" applyBorder="1"/>
    <xf numFmtId="37" fontId="7" fillId="43" borderId="44" xfId="103" applyNumberFormat="1" applyFont="1" applyFill="1" applyBorder="1"/>
    <xf numFmtId="0" fontId="6" fillId="43" borderId="45" xfId="103" applyFont="1" applyFill="1" applyBorder="1"/>
    <xf numFmtId="0" fontId="7" fillId="43" borderId="41" xfId="103" applyFont="1" applyFill="1" applyBorder="1"/>
    <xf numFmtId="0" fontId="7" fillId="43" borderId="39" xfId="103" applyFont="1" applyFill="1" applyBorder="1"/>
    <xf numFmtId="0" fontId="7" fillId="43" borderId="38" xfId="103" applyFont="1" applyFill="1" applyBorder="1"/>
    <xf numFmtId="37" fontId="7" fillId="43" borderId="37" xfId="103" applyNumberFormat="1" applyFont="1" applyFill="1" applyBorder="1"/>
    <xf numFmtId="38" fontId="7" fillId="43" borderId="37" xfId="32" applyNumberFormat="1" applyFont="1" applyFill="1" applyBorder="1" applyAlignment="1">
      <alignment horizontal="right"/>
    </xf>
    <xf numFmtId="0" fontId="7" fillId="43" borderId="37" xfId="103" applyFont="1" applyFill="1" applyBorder="1"/>
    <xf numFmtId="0" fontId="7" fillId="43" borderId="40" xfId="103" applyFont="1" applyFill="1" applyBorder="1"/>
    <xf numFmtId="37" fontId="7" fillId="43" borderId="33" xfId="103" applyNumberFormat="1" applyFont="1" applyFill="1" applyBorder="1"/>
    <xf numFmtId="0" fontId="7" fillId="43" borderId="33" xfId="103" applyFont="1" applyFill="1" applyBorder="1"/>
    <xf numFmtId="0" fontId="7" fillId="43" borderId="10" xfId="103" applyFont="1" applyFill="1" applyBorder="1"/>
    <xf numFmtId="0" fontId="5" fillId="27" borderId="0" xfId="103" applyFont="1" applyFill="1" applyAlignment="1" applyProtection="1">
      <alignment horizontal="left"/>
      <protection locked="0"/>
    </xf>
    <xf numFmtId="3" fontId="5" fillId="27" borderId="0" xfId="0" applyNumberFormat="1" applyFont="1" applyFill="1"/>
    <xf numFmtId="0" fontId="5" fillId="27" borderId="0" xfId="0" applyFont="1" applyFill="1" applyAlignment="1" applyProtection="1">
      <alignment horizontal="left"/>
      <protection locked="0"/>
    </xf>
    <xf numFmtId="38" fontId="6" fillId="0" borderId="34" xfId="0" applyNumberFormat="1" applyFont="1" applyFill="1" applyBorder="1"/>
    <xf numFmtId="0" fontId="6" fillId="0" borderId="0" xfId="0" applyFont="1" applyBorder="1"/>
    <xf numFmtId="0" fontId="6" fillId="0" borderId="43" xfId="0" applyFont="1" applyBorder="1" applyAlignment="1">
      <alignment horizontal="left" wrapText="1"/>
    </xf>
    <xf numFmtId="166" fontId="6" fillId="46" borderId="48" xfId="109" applyNumberFormat="1" applyFont="1" applyFill="1" applyBorder="1"/>
    <xf numFmtId="0" fontId="11" fillId="27" borderId="38" xfId="0" applyFont="1" applyFill="1" applyBorder="1"/>
    <xf numFmtId="0" fontId="11" fillId="27" borderId="37" xfId="0" applyFont="1" applyFill="1" applyBorder="1" applyAlignment="1" applyProtection="1">
      <alignment horizontal="center"/>
      <protection locked="0"/>
    </xf>
    <xf numFmtId="0" fontId="11" fillId="27" borderId="37" xfId="0" applyFont="1" applyFill="1" applyBorder="1"/>
    <xf numFmtId="0" fontId="10" fillId="27" borderId="37" xfId="104" applyFont="1" applyFill="1" applyBorder="1"/>
    <xf numFmtId="0" fontId="11" fillId="27" borderId="0" xfId="0" applyFont="1" applyFill="1" applyBorder="1" applyAlignment="1" applyProtection="1">
      <alignment horizontal="center"/>
      <protection locked="0"/>
    </xf>
    <xf numFmtId="0" fontId="11" fillId="27" borderId="0" xfId="0" applyFont="1" applyFill="1" applyBorder="1"/>
    <xf numFmtId="0" fontId="10" fillId="27" borderId="0" xfId="0" applyFont="1" applyFill="1" applyBorder="1"/>
    <xf numFmtId="0" fontId="10" fillId="27" borderId="0" xfId="104" applyFont="1" applyFill="1" applyBorder="1"/>
    <xf numFmtId="0" fontId="11" fillId="27" borderId="40" xfId="0" applyFont="1" applyFill="1" applyBorder="1"/>
    <xf numFmtId="0" fontId="11" fillId="27" borderId="33" xfId="0" applyFont="1" applyFill="1" applyBorder="1" applyAlignment="1" applyProtection="1">
      <alignment horizontal="center"/>
      <protection locked="0"/>
    </xf>
    <xf numFmtId="0" fontId="11" fillId="27" borderId="33" xfId="0" applyFont="1" applyFill="1" applyBorder="1" applyAlignment="1">
      <alignment horizontal="center"/>
    </xf>
    <xf numFmtId="0" fontId="10" fillId="27" borderId="33" xfId="104" applyFont="1" applyFill="1" applyBorder="1"/>
    <xf numFmtId="0" fontId="10" fillId="27" borderId="6" xfId="0" applyFont="1" applyFill="1" applyBorder="1" applyAlignment="1" applyProtection="1">
      <alignment horizontal="fill"/>
      <protection locked="0"/>
    </xf>
    <xf numFmtId="38" fontId="10" fillId="27" borderId="0" xfId="29" applyNumberFormat="1" applyFont="1" applyFill="1" applyBorder="1"/>
    <xf numFmtId="0" fontId="11" fillId="27" borderId="6" xfId="0" applyFont="1" applyFill="1" applyBorder="1" applyAlignment="1" applyProtection="1">
      <alignment horizontal="left"/>
      <protection locked="0"/>
    </xf>
    <xf numFmtId="37" fontId="11" fillId="28" borderId="0" xfId="0" applyNumberFormat="1" applyFont="1" applyFill="1" applyBorder="1" applyProtection="1">
      <protection locked="0"/>
    </xf>
    <xf numFmtId="37" fontId="10" fillId="27" borderId="0" xfId="0" applyNumberFormat="1" applyFont="1" applyFill="1" applyBorder="1"/>
    <xf numFmtId="43" fontId="10" fillId="27" borderId="0" xfId="29" applyFont="1" applyFill="1" applyBorder="1"/>
    <xf numFmtId="37" fontId="11" fillId="27" borderId="0" xfId="104" applyNumberFormat="1" applyFont="1" applyFill="1" applyBorder="1" applyProtection="1">
      <protection locked="0"/>
    </xf>
    <xf numFmtId="166" fontId="47" fillId="27" borderId="0" xfId="109" applyNumberFormat="1" applyFont="1" applyFill="1" applyBorder="1" applyAlignment="1">
      <alignment horizontal="center" vertical="center" wrapText="1"/>
    </xf>
    <xf numFmtId="0" fontId="10" fillId="27" borderId="6" xfId="0" applyFont="1" applyFill="1" applyBorder="1" applyAlignment="1" applyProtection="1">
      <alignment horizontal="left"/>
      <protection locked="0"/>
    </xf>
    <xf numFmtId="37" fontId="10" fillId="28" borderId="0" xfId="0" applyNumberFormat="1" applyFont="1" applyFill="1" applyBorder="1" applyProtection="1">
      <protection locked="0"/>
    </xf>
    <xf numFmtId="37" fontId="10" fillId="27" borderId="0" xfId="104" applyNumberFormat="1" applyFont="1" applyFill="1" applyBorder="1" applyProtection="1">
      <protection locked="0"/>
    </xf>
    <xf numFmtId="0" fontId="10" fillId="27" borderId="0" xfId="0" applyFont="1" applyFill="1" applyBorder="1" applyAlignment="1">
      <alignment horizontal="center"/>
    </xf>
    <xf numFmtId="165" fontId="47" fillId="27" borderId="0" xfId="0" applyNumberFormat="1" applyFont="1" applyFill="1" applyBorder="1"/>
    <xf numFmtId="37" fontId="10" fillId="27" borderId="0" xfId="0" applyNumberFormat="1" applyFont="1" applyFill="1" applyBorder="1" applyProtection="1">
      <protection locked="0"/>
    </xf>
    <xf numFmtId="10" fontId="47" fillId="27" borderId="0" xfId="109" applyNumberFormat="1" applyFont="1" applyFill="1" applyBorder="1"/>
    <xf numFmtId="0" fontId="10" fillId="27" borderId="6" xfId="0" applyFont="1" applyFill="1" applyBorder="1"/>
    <xf numFmtId="38" fontId="10" fillId="28" borderId="0" xfId="29" applyNumberFormat="1" applyFont="1" applyFill="1" applyBorder="1"/>
    <xf numFmtId="164" fontId="11" fillId="28" borderId="0" xfId="29" applyNumberFormat="1" applyFont="1" applyFill="1" applyBorder="1" applyProtection="1">
      <protection locked="0"/>
    </xf>
    <xf numFmtId="0" fontId="11" fillId="27" borderId="41" xfId="0" applyFont="1" applyFill="1" applyBorder="1" applyAlignment="1" applyProtection="1">
      <alignment horizontal="left"/>
      <protection locked="0"/>
    </xf>
    <xf numFmtId="38" fontId="11" fillId="0" borderId="30" xfId="29" applyNumberFormat="1" applyFont="1" applyFill="1" applyBorder="1" applyProtection="1">
      <protection locked="0"/>
    </xf>
    <xf numFmtId="38" fontId="11" fillId="27" borderId="30" xfId="29" applyNumberFormat="1" applyFont="1" applyFill="1" applyBorder="1" applyProtection="1">
      <protection locked="0"/>
    </xf>
    <xf numFmtId="38" fontId="11" fillId="0" borderId="30" xfId="29" applyNumberFormat="1" applyFont="1" applyBorder="1" applyProtection="1">
      <protection locked="0"/>
    </xf>
    <xf numFmtId="38" fontId="11" fillId="27" borderId="30" xfId="29" applyNumberFormat="1" applyFont="1" applyFill="1" applyBorder="1"/>
    <xf numFmtId="0" fontId="11" fillId="27" borderId="6" xfId="0" applyFont="1" applyFill="1" applyBorder="1"/>
    <xf numFmtId="38" fontId="10" fillId="27" borderId="0" xfId="0" applyNumberFormat="1" applyFont="1" applyFill="1" applyBorder="1"/>
    <xf numFmtId="38" fontId="10" fillId="27" borderId="0" xfId="34" applyNumberFormat="1" applyFont="1" applyFill="1" applyBorder="1"/>
    <xf numFmtId="0" fontId="10" fillId="27" borderId="40" xfId="0" applyFont="1" applyFill="1" applyBorder="1"/>
    <xf numFmtId="0" fontId="10" fillId="27" borderId="33" xfId="0" applyFont="1" applyFill="1" applyBorder="1"/>
    <xf numFmtId="38" fontId="10" fillId="27" borderId="33" xfId="29" applyNumberFormat="1" applyFont="1" applyFill="1" applyBorder="1"/>
    <xf numFmtId="38" fontId="11" fillId="27" borderId="33" xfId="34" applyNumberFormat="1" applyFont="1" applyFill="1" applyBorder="1" applyProtection="1">
      <protection locked="0"/>
    </xf>
    <xf numFmtId="0" fontId="10" fillId="27" borderId="0" xfId="104" applyFont="1" applyFill="1"/>
    <xf numFmtId="38" fontId="10" fillId="27" borderId="0" xfId="34" applyNumberFormat="1" applyFont="1" applyFill="1"/>
    <xf numFmtId="0" fontId="11" fillId="27" borderId="0" xfId="104" applyFont="1" applyFill="1"/>
    <xf numFmtId="0" fontId="11" fillId="27" borderId="37" xfId="0" applyFont="1" applyFill="1" applyBorder="1" applyAlignment="1">
      <alignment horizontal="center"/>
    </xf>
    <xf numFmtId="15" fontId="11" fillId="27" borderId="33" xfId="0" quotePrefix="1" applyNumberFormat="1" applyFont="1" applyFill="1" applyBorder="1" applyAlignment="1" applyProtection="1">
      <alignment horizontal="center"/>
      <protection locked="0"/>
    </xf>
    <xf numFmtId="0" fontId="48" fillId="27" borderId="0" xfId="0" applyFont="1" applyFill="1" applyAlignment="1" applyProtection="1">
      <alignment horizontal="left"/>
      <protection locked="0"/>
    </xf>
    <xf numFmtId="166" fontId="10" fillId="27" borderId="0" xfId="109" applyNumberFormat="1" applyFont="1" applyFill="1" applyProtection="1">
      <protection locked="0"/>
    </xf>
    <xf numFmtId="164" fontId="11" fillId="27" borderId="30" xfId="29" applyNumberFormat="1" applyFont="1" applyFill="1" applyBorder="1" applyProtection="1">
      <protection locked="0"/>
    </xf>
    <xf numFmtId="10" fontId="11" fillId="27" borderId="30" xfId="0" applyNumberFormat="1" applyFont="1" applyFill="1" applyBorder="1" applyProtection="1">
      <protection locked="0"/>
    </xf>
    <xf numFmtId="174" fontId="7" fillId="29" borderId="18" xfId="103" applyNumberFormat="1" applyFont="1" applyFill="1" applyBorder="1" applyProtection="1">
      <protection locked="0"/>
    </xf>
    <xf numFmtId="0" fontId="6" fillId="27" borderId="41" xfId="103" applyFont="1" applyFill="1" applyBorder="1" applyAlignment="1" applyProtection="1">
      <alignment horizontal="left"/>
      <protection locked="0"/>
    </xf>
    <xf numFmtId="38" fontId="6" fillId="27" borderId="41" xfId="103" applyNumberFormat="1" applyFont="1" applyFill="1" applyBorder="1"/>
    <xf numFmtId="10" fontId="6" fillId="27" borderId="39" xfId="109" quotePrefix="1" applyNumberFormat="1" applyFont="1" applyFill="1" applyBorder="1" applyAlignment="1" applyProtection="1">
      <alignment horizontal="right"/>
      <protection locked="0"/>
    </xf>
    <xf numFmtId="38" fontId="6" fillId="24" borderId="0" xfId="0" applyNumberFormat="1" applyFont="1" applyFill="1"/>
    <xf numFmtId="0" fontId="5" fillId="27" borderId="0" xfId="0" applyFont="1" applyFill="1"/>
    <xf numFmtId="164" fontId="10" fillId="28" borderId="0" xfId="29" applyNumberFormat="1" applyFont="1" applyFill="1" applyProtection="1">
      <protection locked="0"/>
    </xf>
    <xf numFmtId="0" fontId="11" fillId="28" borderId="37" xfId="0" applyFont="1" applyFill="1" applyBorder="1" applyAlignment="1" applyProtection="1">
      <alignment horizontal="center" wrapText="1"/>
      <protection locked="0"/>
    </xf>
    <xf numFmtId="15" fontId="11" fillId="28" borderId="33" xfId="0" quotePrefix="1" applyNumberFormat="1" applyFont="1" applyFill="1" applyBorder="1" applyAlignment="1" applyProtection="1">
      <alignment horizontal="center"/>
      <protection locked="0"/>
    </xf>
    <xf numFmtId="0" fontId="11" fillId="28" borderId="6" xfId="0" applyFont="1" applyFill="1" applyBorder="1"/>
    <xf numFmtId="0" fontId="6" fillId="27" borderId="17" xfId="0" applyFont="1" applyFill="1" applyBorder="1" applyAlignment="1">
      <alignment horizontal="left"/>
    </xf>
    <xf numFmtId="0" fontId="6" fillId="44" borderId="48" xfId="0" applyFont="1" applyFill="1" applyBorder="1" applyAlignment="1">
      <alignment horizontal="center" wrapText="1"/>
    </xf>
    <xf numFmtId="0" fontId="6" fillId="44" borderId="49" xfId="0" applyFont="1" applyFill="1" applyBorder="1" applyAlignment="1">
      <alignment horizontal="center" wrapText="1"/>
    </xf>
    <xf numFmtId="0" fontId="6" fillId="24" borderId="46" xfId="0" applyFont="1" applyFill="1" applyBorder="1" applyAlignment="1">
      <alignment horizontal="center" wrapText="1"/>
    </xf>
    <xf numFmtId="0" fontId="6" fillId="24" borderId="50" xfId="0" applyFont="1" applyFill="1" applyBorder="1" applyAlignment="1">
      <alignment horizontal="center" wrapText="1"/>
    </xf>
    <xf numFmtId="165" fontId="6" fillId="27" borderId="25" xfId="29" applyNumberFormat="1" applyFont="1" applyFill="1" applyBorder="1" applyAlignment="1">
      <alignment horizontal="center"/>
    </xf>
    <xf numFmtId="3" fontId="6" fillId="24" borderId="24" xfId="0" applyNumberFormat="1" applyFont="1" applyFill="1" applyBorder="1" applyAlignment="1">
      <alignment horizontal="center"/>
    </xf>
    <xf numFmtId="3" fontId="6" fillId="24" borderId="27" xfId="0" applyNumberFormat="1" applyFont="1" applyFill="1" applyBorder="1" applyAlignment="1">
      <alignment horizontal="center"/>
    </xf>
    <xf numFmtId="165" fontId="6" fillId="44" borderId="25" xfId="29" applyNumberFormat="1" applyFont="1" applyFill="1" applyBorder="1" applyAlignment="1">
      <alignment horizontal="center"/>
    </xf>
    <xf numFmtId="3" fontId="6" fillId="44" borderId="27" xfId="0" applyNumberFormat="1" applyFont="1" applyFill="1" applyBorder="1" applyAlignment="1">
      <alignment horizontal="center"/>
    </xf>
    <xf numFmtId="169" fontId="6" fillId="27" borderId="27" xfId="0" quotePrefix="1" applyNumberFormat="1" applyFont="1" applyFill="1" applyBorder="1" applyAlignment="1">
      <alignment horizontal="center"/>
    </xf>
    <xf numFmtId="0" fontId="7" fillId="27" borderId="24" xfId="0" applyFont="1" applyFill="1" applyBorder="1"/>
    <xf numFmtId="0" fontId="6" fillId="24" borderId="26" xfId="0" applyFont="1" applyFill="1" applyBorder="1" applyAlignment="1">
      <alignment horizontal="center" vertical="top" wrapText="1"/>
    </xf>
    <xf numFmtId="0" fontId="6" fillId="44" borderId="47" xfId="0" applyFont="1" applyFill="1" applyBorder="1" applyAlignment="1">
      <alignment horizontal="center" vertical="top" wrapText="1"/>
    </xf>
    <xf numFmtId="3" fontId="6" fillId="24" borderId="51" xfId="0" quotePrefix="1" applyNumberFormat="1" applyFont="1" applyFill="1" applyBorder="1" applyAlignment="1">
      <alignment horizontal="center"/>
    </xf>
    <xf numFmtId="3" fontId="6" fillId="44" borderId="48" xfId="0" quotePrefix="1" applyNumberFormat="1" applyFont="1" applyFill="1" applyBorder="1" applyAlignment="1">
      <alignment horizontal="center"/>
    </xf>
    <xf numFmtId="0" fontId="6" fillId="44" borderId="26" xfId="0" applyFont="1" applyFill="1" applyBorder="1" applyAlignment="1">
      <alignment horizontal="center" vertical="top" wrapText="1"/>
    </xf>
    <xf numFmtId="0" fontId="6" fillId="44" borderId="28" xfId="0" applyFont="1" applyFill="1" applyBorder="1" applyAlignment="1">
      <alignment horizontal="center" vertical="top" wrapText="1"/>
    </xf>
    <xf numFmtId="0" fontId="6" fillId="44" borderId="52" xfId="0" applyFont="1" applyFill="1" applyBorder="1" applyAlignment="1">
      <alignment horizontal="center" vertical="top" wrapText="1"/>
    </xf>
    <xf numFmtId="0" fontId="6" fillId="44" borderId="24" xfId="0" quotePrefix="1" applyFont="1" applyFill="1" applyBorder="1" applyAlignment="1">
      <alignment horizontal="center"/>
    </xf>
    <xf numFmtId="0" fontId="6" fillId="44" borderId="53" xfId="0" applyFont="1" applyFill="1" applyBorder="1" applyAlignment="1">
      <alignment horizontal="center"/>
    </xf>
    <xf numFmtId="0" fontId="6" fillId="44" borderId="27" xfId="0" quotePrefix="1" applyFont="1" applyFill="1" applyBorder="1" applyAlignment="1">
      <alignment horizontal="center"/>
    </xf>
    <xf numFmtId="165" fontId="6" fillId="44" borderId="46" xfId="29" applyNumberFormat="1" applyFont="1" applyFill="1" applyBorder="1" applyAlignment="1">
      <alignment horizontal="center"/>
    </xf>
    <xf numFmtId="0" fontId="7" fillId="28" borderId="44" xfId="0" applyFont="1" applyFill="1" applyBorder="1" applyAlignment="1"/>
    <xf numFmtId="0" fontId="6" fillId="28" borderId="44" xfId="0" applyFont="1" applyFill="1" applyBorder="1" applyAlignment="1"/>
    <xf numFmtId="38" fontId="6" fillId="28" borderId="45" xfId="0" applyNumberFormat="1" applyFont="1" applyFill="1" applyBorder="1" applyAlignment="1"/>
    <xf numFmtId="168" fontId="7" fillId="27" borderId="37" xfId="104" applyNumberFormat="1" applyFont="1" applyFill="1" applyBorder="1"/>
    <xf numFmtId="168" fontId="7" fillId="27" borderId="34" xfId="104" applyNumberFormat="1" applyFont="1" applyFill="1" applyBorder="1"/>
    <xf numFmtId="168" fontId="7" fillId="27" borderId="0" xfId="104" applyNumberFormat="1" applyFont="1" applyFill="1" applyBorder="1"/>
    <xf numFmtId="168" fontId="7" fillId="27" borderId="32" xfId="104" applyNumberFormat="1" applyFont="1" applyFill="1" applyBorder="1"/>
    <xf numFmtId="168" fontId="11" fillId="34" borderId="38" xfId="104" applyNumberFormat="1" applyFont="1" applyFill="1" applyBorder="1" applyAlignment="1">
      <alignment horizontal="centerContinuous"/>
    </xf>
    <xf numFmtId="168" fontId="11" fillId="34" borderId="34" xfId="104" applyNumberFormat="1" applyFont="1" applyFill="1" applyBorder="1" applyAlignment="1">
      <alignment horizontal="centerContinuous"/>
    </xf>
    <xf numFmtId="168" fontId="11" fillId="34" borderId="40" xfId="104" applyNumberFormat="1" applyFont="1" applyFill="1" applyBorder="1" applyAlignment="1">
      <alignment horizontal="centerContinuous"/>
    </xf>
    <xf numFmtId="168" fontId="11" fillId="34" borderId="10" xfId="104" applyNumberFormat="1" applyFont="1" applyFill="1" applyBorder="1" applyAlignment="1">
      <alignment horizontal="centerContinuous"/>
    </xf>
    <xf numFmtId="168" fontId="10" fillId="27" borderId="0" xfId="104" applyNumberFormat="1" applyFont="1" applyFill="1" applyBorder="1"/>
    <xf numFmtId="168" fontId="10" fillId="27" borderId="32" xfId="104" applyNumberFormat="1" applyFont="1" applyFill="1" applyBorder="1"/>
    <xf numFmtId="168" fontId="10" fillId="34" borderId="43" xfId="29" applyNumberFormat="1" applyFont="1" applyFill="1" applyBorder="1"/>
    <xf numFmtId="168" fontId="10" fillId="27" borderId="45" xfId="104" applyNumberFormat="1" applyFont="1" applyFill="1" applyBorder="1"/>
    <xf numFmtId="168" fontId="14" fillId="27" borderId="0" xfId="29" applyNumberFormat="1" applyFont="1" applyFill="1" applyBorder="1"/>
    <xf numFmtId="168" fontId="19" fillId="27" borderId="32" xfId="0" applyNumberFormat="1" applyFont="1" applyFill="1" applyBorder="1"/>
    <xf numFmtId="168" fontId="47" fillId="27" borderId="32" xfId="0" applyNumberFormat="1" applyFont="1" applyFill="1" applyBorder="1"/>
    <xf numFmtId="168" fontId="19" fillId="27" borderId="32" xfId="29" applyNumberFormat="1" applyFont="1" applyFill="1" applyBorder="1"/>
    <xf numFmtId="168" fontId="10" fillId="27" borderId="33" xfId="104" applyNumberFormat="1" applyFont="1" applyFill="1" applyBorder="1"/>
    <xf numFmtId="168" fontId="10" fillId="27" borderId="10" xfId="104" applyNumberFormat="1" applyFont="1" applyFill="1" applyBorder="1"/>
    <xf numFmtId="168" fontId="10" fillId="27" borderId="0" xfId="104" applyNumberFormat="1" applyFont="1" applyFill="1"/>
    <xf numFmtId="168" fontId="7" fillId="0" borderId="0" xfId="104" applyNumberFormat="1" applyFont="1"/>
    <xf numFmtId="0" fontId="11" fillId="43" borderId="6" xfId="0" applyFont="1" applyFill="1" applyBorder="1"/>
    <xf numFmtId="38" fontId="11" fillId="43" borderId="0" xfId="0" applyNumberFormat="1" applyFont="1" applyFill="1" applyBorder="1"/>
    <xf numFmtId="38" fontId="10" fillId="43" borderId="0" xfId="0" applyNumberFormat="1" applyFont="1" applyFill="1" applyBorder="1"/>
    <xf numFmtId="179" fontId="6" fillId="27" borderId="15" xfId="109" applyNumberFormat="1" applyFont="1" applyFill="1" applyBorder="1"/>
    <xf numFmtId="0" fontId="28" fillId="50" borderId="18" xfId="105" applyFont="1" applyFill="1" applyBorder="1" applyAlignment="1">
      <alignment horizontal="left" wrapText="1"/>
    </xf>
    <xf numFmtId="164" fontId="10" fillId="27" borderId="0" xfId="33" applyNumberFormat="1" applyFont="1" applyFill="1" applyProtection="1">
      <protection locked="0"/>
    </xf>
    <xf numFmtId="0" fontId="10" fillId="27" borderId="37" xfId="0" applyFont="1" applyFill="1" applyBorder="1" applyAlignment="1">
      <alignment horizontal="center"/>
    </xf>
    <xf numFmtId="38" fontId="11" fillId="27" borderId="33" xfId="29" applyNumberFormat="1" applyFont="1" applyFill="1" applyBorder="1" applyAlignment="1">
      <alignment horizontal="center"/>
    </xf>
    <xf numFmtId="0" fontId="10" fillId="27" borderId="33" xfId="104" applyFont="1" applyFill="1" applyBorder="1" applyAlignment="1">
      <alignment horizontal="center"/>
    </xf>
    <xf numFmtId="38" fontId="6" fillId="28" borderId="43" xfId="0" applyNumberFormat="1" applyFont="1" applyFill="1" applyBorder="1" applyAlignment="1"/>
    <xf numFmtId="0" fontId="24" fillId="27" borderId="43" xfId="0" quotePrefix="1" applyFont="1" applyFill="1" applyBorder="1" applyAlignment="1">
      <alignment horizontal="center"/>
    </xf>
    <xf numFmtId="0" fontId="24" fillId="27" borderId="43" xfId="0" applyFont="1" applyFill="1" applyBorder="1" applyAlignment="1">
      <alignment horizontal="center"/>
    </xf>
    <xf numFmtId="0" fontId="24" fillId="27" borderId="13" xfId="0" applyFont="1" applyFill="1" applyBorder="1" applyAlignment="1">
      <alignment horizontal="center"/>
    </xf>
    <xf numFmtId="0" fontId="16" fillId="31" borderId="0" xfId="0" applyFont="1" applyFill="1" applyAlignment="1">
      <alignment horizontal="center" vertical="center" wrapText="1"/>
    </xf>
    <xf numFmtId="38" fontId="7" fillId="24" borderId="0" xfId="0" applyNumberFormat="1" applyFont="1" applyFill="1"/>
    <xf numFmtId="38" fontId="7" fillId="27" borderId="0" xfId="0" applyNumberFormat="1" applyFont="1" applyFill="1"/>
    <xf numFmtId="38" fontId="7" fillId="27" borderId="33" xfId="0" applyNumberFormat="1" applyFont="1" applyFill="1" applyBorder="1"/>
    <xf numFmtId="38" fontId="0" fillId="27" borderId="0" xfId="0" applyNumberFormat="1" applyFill="1"/>
    <xf numFmtId="0" fontId="14" fillId="31" borderId="13" xfId="0" applyFont="1" applyFill="1" applyBorder="1" applyAlignment="1">
      <alignment horizontal="centerContinuous"/>
    </xf>
    <xf numFmtId="0" fontId="16" fillId="31" borderId="13" xfId="0" applyFont="1" applyFill="1" applyBorder="1" applyAlignment="1">
      <alignment horizontal="centerContinuous"/>
    </xf>
    <xf numFmtId="0" fontId="16" fillId="31" borderId="45" xfId="0" applyFont="1" applyFill="1" applyBorder="1" applyAlignment="1">
      <alignment horizontal="centerContinuous"/>
    </xf>
    <xf numFmtId="0" fontId="16" fillId="46" borderId="35" xfId="0" applyFont="1" applyFill="1" applyBorder="1" applyAlignment="1">
      <alignment horizontal="left" vertical="center" wrapText="1"/>
    </xf>
    <xf numFmtId="0" fontId="16" fillId="46" borderId="18" xfId="0" applyFont="1" applyFill="1" applyBorder="1" applyAlignment="1">
      <alignment horizontal="left"/>
    </xf>
    <xf numFmtId="0" fontId="16" fillId="0" borderId="42" xfId="0" applyFont="1" applyFill="1" applyBorder="1" applyAlignment="1">
      <alignment horizontal="left"/>
    </xf>
    <xf numFmtId="38" fontId="7" fillId="27" borderId="32" xfId="0" applyNumberFormat="1" applyFont="1" applyFill="1" applyBorder="1"/>
    <xf numFmtId="38" fontId="7" fillId="24" borderId="10" xfId="0" applyNumberFormat="1" applyFont="1" applyFill="1" applyBorder="1"/>
    <xf numFmtId="38" fontId="0" fillId="27" borderId="32" xfId="0" applyNumberFormat="1" applyFill="1" applyBorder="1"/>
    <xf numFmtId="0" fontId="14" fillId="31" borderId="13" xfId="0" applyFont="1" applyFill="1" applyBorder="1" applyAlignment="1">
      <alignment horizontal="center" vertical="center" wrapText="1"/>
    </xf>
    <xf numFmtId="0" fontId="14" fillId="31" borderId="45" xfId="0" applyFont="1" applyFill="1" applyBorder="1" applyAlignment="1">
      <alignment horizontal="center" vertical="center" wrapText="1"/>
    </xf>
    <xf numFmtId="0" fontId="14" fillId="46" borderId="18" xfId="0" applyFont="1" applyFill="1" applyBorder="1" applyAlignment="1">
      <alignment horizontal="left" vertical="center" wrapText="1"/>
    </xf>
    <xf numFmtId="0" fontId="14" fillId="46" borderId="36" xfId="0" applyFont="1" applyFill="1" applyBorder="1" applyAlignment="1">
      <alignment horizontal="left" vertical="center" wrapText="1"/>
    </xf>
    <xf numFmtId="38" fontId="6" fillId="27" borderId="30" xfId="0" applyNumberFormat="1" applyFont="1" applyFill="1" applyBorder="1"/>
    <xf numFmtId="38" fontId="6" fillId="27" borderId="39" xfId="0" applyNumberFormat="1" applyFont="1" applyFill="1" applyBorder="1"/>
    <xf numFmtId="0" fontId="16" fillId="27" borderId="35" xfId="0" applyFont="1" applyFill="1" applyBorder="1" applyAlignment="1">
      <alignment horizontal="center" vertical="center" wrapText="1"/>
    </xf>
    <xf numFmtId="38" fontId="6" fillId="26" borderId="18" xfId="0" applyNumberFormat="1" applyFont="1" applyFill="1" applyBorder="1" applyAlignment="1">
      <alignment horizontal="right" vertical="center" wrapText="1"/>
    </xf>
    <xf numFmtId="38" fontId="6" fillId="26" borderId="36" xfId="0" applyNumberFormat="1" applyFont="1" applyFill="1" applyBorder="1" applyAlignment="1">
      <alignment horizontal="right" vertical="center" wrapText="1"/>
    </xf>
    <xf numFmtId="38" fontId="6" fillId="44" borderId="18" xfId="0" applyNumberFormat="1" applyFont="1" applyFill="1" applyBorder="1" applyAlignment="1">
      <alignment horizontal="right" vertical="center" wrapText="1"/>
    </xf>
    <xf numFmtId="38" fontId="6" fillId="44" borderId="36" xfId="0" applyNumberFormat="1" applyFont="1" applyFill="1" applyBorder="1" applyAlignment="1">
      <alignment horizontal="right" vertical="center" wrapText="1"/>
    </xf>
    <xf numFmtId="38" fontId="6" fillId="26" borderId="42" xfId="0" applyNumberFormat="1" applyFont="1" applyFill="1" applyBorder="1"/>
    <xf numFmtId="38" fontId="6" fillId="44" borderId="42" xfId="0" applyNumberFormat="1" applyFont="1" applyFill="1" applyBorder="1"/>
    <xf numFmtId="38" fontId="3" fillId="0" borderId="0" xfId="29" applyNumberFormat="1" applyFill="1"/>
    <xf numFmtId="38" fontId="3" fillId="0" borderId="0" xfId="29" quotePrefix="1" applyNumberFormat="1" applyFill="1"/>
    <xf numFmtId="38" fontId="3" fillId="27" borderId="13" xfId="29" applyNumberFormat="1" applyFill="1" applyBorder="1" applyAlignment="1"/>
    <xf numFmtId="38" fontId="3" fillId="31" borderId="0" xfId="29" applyNumberFormat="1" applyFill="1" applyAlignment="1">
      <alignment horizontal="right"/>
    </xf>
    <xf numFmtId="38" fontId="3" fillId="26" borderId="0" xfId="29" applyNumberFormat="1" applyFill="1" applyAlignment="1">
      <alignment horizontal="right"/>
    </xf>
    <xf numFmtId="38" fontId="3" fillId="26" borderId="0" xfId="109" applyNumberFormat="1" applyFill="1" applyAlignment="1">
      <alignment horizontal="right"/>
    </xf>
    <xf numFmtId="38" fontId="6" fillId="27" borderId="13" xfId="29" quotePrefix="1" applyNumberFormat="1" applyFont="1" applyFill="1" applyBorder="1" applyAlignment="1"/>
    <xf numFmtId="38" fontId="6" fillId="0" borderId="30" xfId="29" quotePrefix="1" applyNumberFormat="1" applyFont="1" applyFill="1" applyBorder="1" applyAlignment="1"/>
    <xf numFmtId="38" fontId="6" fillId="44" borderId="0" xfId="29" applyNumberFormat="1" applyFont="1" applyFill="1" applyBorder="1" applyAlignment="1">
      <alignment horizontal="right"/>
    </xf>
    <xf numFmtId="38" fontId="6" fillId="44" borderId="30" xfId="29" applyNumberFormat="1" applyFont="1" applyFill="1" applyBorder="1" applyAlignment="1">
      <alignment horizontal="right"/>
    </xf>
    <xf numFmtId="38" fontId="0" fillId="33" borderId="43" xfId="0" applyNumberFormat="1" applyFill="1" applyBorder="1"/>
    <xf numFmtId="0" fontId="5" fillId="27" borderId="0" xfId="0" applyFont="1" applyFill="1" applyBorder="1" applyAlignment="1"/>
    <xf numFmtId="0" fontId="17" fillId="27" borderId="0" xfId="0" applyFont="1" applyFill="1" applyBorder="1" applyAlignment="1"/>
    <xf numFmtId="0" fontId="0" fillId="0" borderId="0" xfId="0" applyBorder="1"/>
    <xf numFmtId="0" fontId="6" fillId="27" borderId="0" xfId="0" applyFont="1" applyFill="1" applyBorder="1" applyAlignment="1"/>
    <xf numFmtId="0" fontId="20" fillId="27" borderId="0" xfId="0" applyFont="1" applyFill="1" applyBorder="1" applyAlignment="1"/>
    <xf numFmtId="9" fontId="6" fillId="27" borderId="47" xfId="109" applyFont="1" applyFill="1" applyBorder="1"/>
    <xf numFmtId="166" fontId="0" fillId="27" borderId="0" xfId="109" applyNumberFormat="1" applyFont="1" applyFill="1" applyBorder="1" applyAlignment="1">
      <alignment horizontal="center"/>
    </xf>
    <xf numFmtId="166" fontId="6" fillId="0" borderId="43" xfId="109" applyNumberFormat="1" applyFont="1" applyFill="1" applyBorder="1" applyAlignment="1">
      <alignment horizontal="center"/>
    </xf>
    <xf numFmtId="166" fontId="0" fillId="33" borderId="43" xfId="109" applyNumberFormat="1" applyFont="1" applyFill="1" applyBorder="1" applyAlignment="1">
      <alignment horizontal="center"/>
    </xf>
    <xf numFmtId="166" fontId="6" fillId="33" borderId="43" xfId="109" applyNumberFormat="1" applyFont="1" applyFill="1" applyBorder="1" applyAlignment="1">
      <alignment horizontal="center"/>
    </xf>
    <xf numFmtId="166" fontId="0" fillId="27" borderId="0" xfId="109" applyNumberFormat="1" applyFont="1" applyFill="1" applyAlignment="1">
      <alignment horizontal="center"/>
    </xf>
    <xf numFmtId="166" fontId="0" fillId="0" borderId="0" xfId="109" applyNumberFormat="1" applyFont="1" applyAlignment="1">
      <alignment horizontal="center"/>
    </xf>
    <xf numFmtId="166" fontId="0" fillId="27" borderId="43" xfId="109" applyNumberFormat="1" applyFont="1" applyFill="1" applyBorder="1" applyAlignment="1">
      <alignment horizontal="center"/>
    </xf>
    <xf numFmtId="9" fontId="0" fillId="27" borderId="43" xfId="109" applyFont="1" applyFill="1" applyBorder="1" applyAlignment="1">
      <alignment horizontal="center"/>
    </xf>
    <xf numFmtId="3" fontId="7" fillId="33" borderId="43" xfId="0" applyNumberFormat="1" applyFont="1" applyFill="1" applyBorder="1"/>
    <xf numFmtId="3" fontId="0" fillId="33" borderId="43" xfId="0" applyNumberFormat="1" applyFill="1" applyBorder="1"/>
    <xf numFmtId="43" fontId="7" fillId="0" borderId="0" xfId="29" applyFont="1"/>
    <xf numFmtId="0" fontId="0" fillId="0" borderId="0" xfId="0" quotePrefix="1"/>
    <xf numFmtId="1" fontId="27" fillId="44" borderId="43" xfId="106" applyNumberFormat="1" applyFont="1" applyFill="1" applyBorder="1" applyAlignment="1">
      <alignment horizontal="center" wrapText="1"/>
    </xf>
    <xf numFmtId="0" fontId="28" fillId="0" borderId="22" xfId="105" applyFont="1" applyFill="1" applyBorder="1" applyAlignment="1">
      <alignment horizontal="left" wrapText="1"/>
    </xf>
    <xf numFmtId="168" fontId="11" fillId="34" borderId="6" xfId="0" applyNumberFormat="1" applyFont="1" applyFill="1" applyBorder="1"/>
    <xf numFmtId="168" fontId="10" fillId="34" borderId="32" xfId="104" applyNumberFormat="1" applyFont="1" applyFill="1" applyBorder="1"/>
    <xf numFmtId="38" fontId="7" fillId="0" borderId="0" xfId="0" applyNumberFormat="1" applyFont="1" applyFill="1" applyBorder="1" applyAlignment="1"/>
    <xf numFmtId="0" fontId="28" fillId="0" borderId="22" xfId="105" applyFont="1" applyFill="1" applyBorder="1" applyAlignment="1"/>
    <xf numFmtId="15" fontId="28" fillId="0" borderId="22" xfId="105" applyNumberFormat="1" applyFont="1" applyFill="1" applyBorder="1" applyAlignment="1">
      <alignment horizontal="center" wrapText="1"/>
    </xf>
    <xf numFmtId="40" fontId="28" fillId="0" borderId="22" xfId="105" applyNumberFormat="1" applyFont="1" applyFill="1" applyBorder="1" applyAlignment="1">
      <alignment horizontal="right" wrapText="1"/>
    </xf>
    <xf numFmtId="0" fontId="28" fillId="0" borderId="0" xfId="105" applyFont="1" applyFill="1" applyBorder="1" applyAlignment="1"/>
    <xf numFmtId="15" fontId="28" fillId="0" borderId="0" xfId="105" applyNumberFormat="1" applyFont="1" applyFill="1" applyBorder="1" applyAlignment="1">
      <alignment horizontal="center" wrapText="1"/>
    </xf>
    <xf numFmtId="37" fontId="10" fillId="0" borderId="0" xfId="0" applyNumberFormat="1" applyFont="1" applyFill="1" applyBorder="1" applyProtection="1">
      <protection locked="0"/>
    </xf>
    <xf numFmtId="0" fontId="10" fillId="0" borderId="0" xfId="0" applyFont="1" applyFill="1" applyBorder="1"/>
    <xf numFmtId="38" fontId="65" fillId="27" borderId="0" xfId="29" applyNumberFormat="1" applyFont="1" applyFill="1" applyBorder="1"/>
    <xf numFmtId="9" fontId="7" fillId="27" borderId="0" xfId="109" applyFont="1" applyFill="1" applyAlignment="1">
      <alignment horizontal="right"/>
    </xf>
    <xf numFmtId="10" fontId="7" fillId="0" borderId="0" xfId="109" applyNumberFormat="1" applyFont="1"/>
    <xf numFmtId="38" fontId="30" fillId="27" borderId="0" xfId="29" quotePrefix="1" applyNumberFormat="1" applyFont="1" applyFill="1" applyAlignment="1">
      <alignment horizontal="right" wrapText="1"/>
    </xf>
    <xf numFmtId="38" fontId="30" fillId="26" borderId="0" xfId="29" quotePrefix="1" applyNumberFormat="1" applyFont="1" applyFill="1" applyAlignment="1">
      <alignment horizontal="right" vertical="top" wrapText="1"/>
    </xf>
    <xf numFmtId="0" fontId="6" fillId="0" borderId="0" xfId="0" quotePrefix="1" applyFont="1" applyFill="1"/>
    <xf numFmtId="0" fontId="0" fillId="44" borderId="0" xfId="0" quotePrefix="1" applyFill="1"/>
    <xf numFmtId="0" fontId="4" fillId="42" borderId="18" xfId="105" applyFont="1" applyFill="1" applyBorder="1" applyAlignment="1">
      <alignment horizontal="left" wrapText="1"/>
    </xf>
    <xf numFmtId="0" fontId="4" fillId="44" borderId="18" xfId="105" applyFont="1" applyFill="1" applyBorder="1" applyAlignment="1">
      <alignment horizontal="left" wrapText="1"/>
    </xf>
    <xf numFmtId="0" fontId="3" fillId="0" borderId="0" xfId="0" quotePrefix="1" applyFont="1" applyFill="1"/>
    <xf numFmtId="38" fontId="6" fillId="27" borderId="0" xfId="32" applyNumberFormat="1" applyFont="1" applyFill="1" applyAlignment="1">
      <alignment horizontal="right"/>
    </xf>
    <xf numFmtId="9" fontId="6" fillId="27" borderId="0" xfId="109" applyFont="1" applyFill="1" applyAlignment="1">
      <alignment horizontal="right"/>
    </xf>
    <xf numFmtId="38" fontId="18" fillId="26" borderId="0" xfId="29" quotePrefix="1" applyNumberFormat="1" applyFont="1" applyFill="1" applyAlignment="1">
      <alignment horizontal="right"/>
    </xf>
    <xf numFmtId="38" fontId="3" fillId="0" borderId="13" xfId="29" applyNumberFormat="1" applyFill="1" applyBorder="1" applyAlignment="1"/>
    <xf numFmtId="0" fontId="28" fillId="52" borderId="18" xfId="105" applyFont="1" applyFill="1" applyBorder="1" applyAlignment="1">
      <alignment horizontal="left" wrapText="1"/>
    </xf>
    <xf numFmtId="0" fontId="27" fillId="0" borderId="0" xfId="661" applyFont="1" applyFill="1"/>
    <xf numFmtId="0" fontId="27" fillId="0" borderId="0" xfId="661" applyFont="1" applyAlignment="1"/>
    <xf numFmtId="1" fontId="27" fillId="0" borderId="0" xfId="661" applyNumberFormat="1" applyFont="1" applyAlignment="1">
      <alignment horizontal="center"/>
    </xf>
    <xf numFmtId="0" fontId="27" fillId="0" borderId="0" xfId="661" applyFont="1" applyAlignment="1">
      <alignment horizontal="left" wrapText="1"/>
    </xf>
    <xf numFmtId="0" fontId="28" fillId="0" borderId="0" xfId="661" applyFont="1" applyAlignment="1"/>
    <xf numFmtId="0" fontId="28" fillId="0" borderId="0" xfId="661" applyFont="1" applyAlignment="1">
      <alignment horizontal="center"/>
    </xf>
    <xf numFmtId="0" fontId="27" fillId="0" borderId="0" xfId="661" applyFont="1" applyFill="1" applyAlignment="1">
      <alignment horizontal="center" wrapText="1"/>
    </xf>
    <xf numFmtId="0" fontId="42" fillId="30" borderId="43" xfId="661" applyFont="1" applyFill="1" applyBorder="1" applyAlignment="1">
      <alignment wrapText="1"/>
    </xf>
    <xf numFmtId="0" fontId="27" fillId="30" borderId="43" xfId="661" applyFont="1" applyFill="1" applyBorder="1" applyAlignment="1">
      <alignment horizontal="center" wrapText="1"/>
    </xf>
    <xf numFmtId="0" fontId="27" fillId="30" borderId="43" xfId="661" applyFont="1" applyFill="1" applyBorder="1" applyAlignment="1">
      <alignment wrapText="1"/>
    </xf>
    <xf numFmtId="0" fontId="28" fillId="0" borderId="0" xfId="661" applyFont="1" applyFill="1"/>
    <xf numFmtId="0" fontId="14" fillId="33" borderId="18" xfId="661" applyFont="1" applyFill="1" applyBorder="1" applyAlignment="1">
      <alignment horizontal="left"/>
    </xf>
    <xf numFmtId="0" fontId="28" fillId="0" borderId="0" xfId="661" applyFont="1"/>
    <xf numFmtId="0" fontId="14" fillId="34" borderId="18" xfId="661" applyFont="1" applyFill="1" applyBorder="1" applyAlignment="1">
      <alignment horizontal="left"/>
    </xf>
    <xf numFmtId="0" fontId="43" fillId="54" borderId="18" xfId="105" applyFont="1" applyFill="1" applyBorder="1" applyAlignment="1">
      <alignment horizontal="left" wrapText="1"/>
    </xf>
    <xf numFmtId="0" fontId="14" fillId="44" borderId="18" xfId="661" applyFont="1" applyFill="1" applyBorder="1" applyAlignment="1">
      <alignment horizontal="left"/>
    </xf>
    <xf numFmtId="0" fontId="27" fillId="0" borderId="0" xfId="661" applyFont="1"/>
    <xf numFmtId="0" fontId="14" fillId="28" borderId="18" xfId="661" applyFont="1" applyFill="1" applyBorder="1" applyAlignment="1">
      <alignment horizontal="left"/>
    </xf>
    <xf numFmtId="0" fontId="14" fillId="26" borderId="18" xfId="661" applyFont="1" applyFill="1" applyBorder="1" applyAlignment="1">
      <alignment horizontal="left"/>
    </xf>
    <xf numFmtId="0" fontId="14" fillId="29" borderId="18" xfId="661" applyFont="1" applyFill="1" applyBorder="1" applyAlignment="1">
      <alignment horizontal="left"/>
    </xf>
    <xf numFmtId="0" fontId="14" fillId="39" borderId="18" xfId="661" applyFont="1" applyFill="1" applyBorder="1" applyAlignment="1">
      <alignment horizontal="left"/>
    </xf>
    <xf numFmtId="0" fontId="14" fillId="41" borderId="18" xfId="661" applyFont="1" applyFill="1" applyBorder="1" applyAlignment="1">
      <alignment horizontal="left"/>
    </xf>
    <xf numFmtId="0" fontId="14" fillId="43" borderId="18" xfId="661" applyFont="1" applyFill="1" applyBorder="1" applyAlignment="1">
      <alignment horizontal="left"/>
    </xf>
    <xf numFmtId="0" fontId="43" fillId="0" borderId="42" xfId="661" applyFont="1" applyBorder="1" applyAlignment="1"/>
    <xf numFmtId="0" fontId="27" fillId="0" borderId="42" xfId="661" applyFont="1" applyBorder="1" applyAlignment="1"/>
    <xf numFmtId="0" fontId="27" fillId="0" borderId="42" xfId="661" applyFont="1" applyBorder="1" applyAlignment="1">
      <alignment horizontal="left" wrapText="1"/>
    </xf>
    <xf numFmtId="0" fontId="28" fillId="0" borderId="42" xfId="661" applyFont="1" applyBorder="1" applyAlignment="1">
      <alignment horizontal="center"/>
    </xf>
    <xf numFmtId="1" fontId="27" fillId="0" borderId="42" xfId="661" applyNumberFormat="1" applyFont="1" applyBorder="1" applyAlignment="1">
      <alignment horizontal="center"/>
    </xf>
    <xf numFmtId="40" fontId="27" fillId="0" borderId="42" xfId="661" applyNumberFormat="1" applyFont="1" applyBorder="1" applyAlignment="1">
      <alignment horizontal="right"/>
    </xf>
    <xf numFmtId="0" fontId="43" fillId="0" borderId="0" xfId="661" applyFont="1" applyAlignment="1"/>
    <xf numFmtId="38" fontId="7" fillId="24" borderId="0" xfId="0" applyNumberFormat="1" applyFont="1" applyFill="1" applyBorder="1"/>
    <xf numFmtId="38" fontId="7" fillId="27" borderId="0" xfId="0" applyNumberFormat="1" applyFont="1" applyFill="1" applyBorder="1"/>
    <xf numFmtId="0" fontId="16" fillId="31" borderId="13" xfId="0" applyFont="1" applyFill="1" applyBorder="1" applyAlignment="1">
      <alignment horizontal="centerContinuous" vertical="center" wrapText="1"/>
    </xf>
    <xf numFmtId="38" fontId="0" fillId="27" borderId="0" xfId="0" applyNumberFormat="1" applyFill="1" applyBorder="1"/>
    <xf numFmtId="37" fontId="10" fillId="51" borderId="0" xfId="0" applyNumberFormat="1" applyFont="1" applyFill="1" applyBorder="1" applyProtection="1">
      <protection locked="0"/>
    </xf>
    <xf numFmtId="3" fontId="11" fillId="55" borderId="0" xfId="0" applyNumberFormat="1" applyFont="1" applyFill="1" applyAlignment="1">
      <alignment horizontal="right" vertical="center"/>
    </xf>
    <xf numFmtId="3" fontId="10" fillId="55" borderId="0" xfId="0" applyNumberFormat="1" applyFont="1" applyFill="1" applyAlignment="1">
      <alignment horizontal="right" vertical="center"/>
    </xf>
    <xf numFmtId="3" fontId="10" fillId="0" borderId="0" xfId="0" applyNumberFormat="1" applyFont="1" applyAlignment="1">
      <alignment horizontal="right" vertical="center"/>
    </xf>
    <xf numFmtId="3" fontId="10" fillId="56" borderId="0" xfId="0" applyNumberFormat="1" applyFont="1" applyFill="1" applyAlignment="1">
      <alignment horizontal="right" vertical="center"/>
    </xf>
    <xf numFmtId="0" fontId="10" fillId="56" borderId="0" xfId="0" applyFont="1" applyFill="1" applyAlignment="1">
      <alignment horizontal="right" vertical="center"/>
    </xf>
    <xf numFmtId="0" fontId="3" fillId="0" borderId="0" xfId="0" applyFont="1"/>
    <xf numFmtId="0" fontId="3" fillId="0" borderId="0" xfId="0" quotePrefix="1" applyFont="1" applyBorder="1"/>
    <xf numFmtId="38" fontId="0" fillId="0" borderId="0" xfId="0" applyNumberFormat="1" applyFill="1"/>
    <xf numFmtId="0" fontId="27" fillId="0" borderId="43" xfId="661" applyFont="1" applyFill="1" applyBorder="1" applyAlignment="1">
      <alignment horizontal="right" wrapText="1"/>
    </xf>
    <xf numFmtId="187" fontId="28" fillId="0" borderId="0" xfId="661" applyNumberFormat="1" applyFont="1" applyFill="1"/>
    <xf numFmtId="187" fontId="27" fillId="0" borderId="0" xfId="661" applyNumberFormat="1" applyFont="1" applyFill="1"/>
    <xf numFmtId="0" fontId="3" fillId="0" borderId="0" xfId="0" applyFont="1" applyFill="1"/>
    <xf numFmtId="0" fontId="27" fillId="0" borderId="0" xfId="1152" applyFont="1" applyAlignment="1"/>
    <xf numFmtId="1" fontId="27" fillId="0" borderId="0" xfId="1152" applyNumberFormat="1" applyFont="1" applyAlignment="1">
      <alignment horizontal="center"/>
    </xf>
    <xf numFmtId="0" fontId="27" fillId="0" borderId="0" xfId="1152" applyFont="1" applyAlignment="1">
      <alignment horizontal="left" wrapText="1"/>
    </xf>
    <xf numFmtId="0" fontId="27" fillId="0" borderId="0" xfId="1152" applyFont="1" applyFill="1"/>
    <xf numFmtId="0" fontId="28" fillId="0" borderId="0" xfId="1152" applyFont="1" applyAlignment="1"/>
    <xf numFmtId="0" fontId="27" fillId="30" borderId="43" xfId="1152" applyFont="1" applyFill="1" applyBorder="1" applyAlignment="1">
      <alignment wrapText="1"/>
    </xf>
    <xf numFmtId="0" fontId="27" fillId="46" borderId="34" xfId="1152" applyFont="1" applyFill="1" applyBorder="1" applyAlignment="1">
      <alignment horizontal="center" wrapText="1"/>
    </xf>
    <xf numFmtId="0" fontId="27" fillId="0" borderId="0" xfId="1152" applyFont="1" applyFill="1" applyAlignment="1">
      <alignment horizontal="center" wrapText="1"/>
    </xf>
    <xf numFmtId="0" fontId="14" fillId="33" borderId="18" xfId="1152" applyFont="1" applyFill="1" applyBorder="1" applyAlignment="1">
      <alignment horizontal="left"/>
    </xf>
    <xf numFmtId="4" fontId="28" fillId="24" borderId="32" xfId="1152" applyNumberFormat="1" applyFont="1" applyFill="1" applyBorder="1"/>
    <xf numFmtId="0" fontId="28" fillId="0" borderId="0" xfId="1152" applyFont="1" applyFill="1"/>
    <xf numFmtId="0" fontId="14" fillId="34" borderId="18" xfId="1152" applyFont="1" applyFill="1" applyBorder="1" applyAlignment="1">
      <alignment horizontal="left"/>
    </xf>
    <xf numFmtId="0" fontId="14" fillId="49" borderId="18" xfId="1152" applyFont="1" applyFill="1" applyBorder="1" applyAlignment="1">
      <alignment horizontal="left"/>
    </xf>
    <xf numFmtId="184" fontId="14" fillId="49" borderId="18" xfId="1152" applyNumberFormat="1" applyFont="1" applyFill="1" applyBorder="1" applyAlignment="1">
      <alignment horizontal="center"/>
    </xf>
    <xf numFmtId="0" fontId="14" fillId="0" borderId="22" xfId="1152" applyFont="1" applyFill="1" applyBorder="1"/>
    <xf numFmtId="0" fontId="14" fillId="0" borderId="0" xfId="1152" applyFont="1" applyFill="1" applyBorder="1"/>
    <xf numFmtId="0" fontId="28" fillId="49" borderId="18" xfId="1152" applyFont="1" applyFill="1" applyBorder="1" applyAlignment="1">
      <alignment horizontal="center"/>
    </xf>
    <xf numFmtId="0" fontId="14" fillId="28" borderId="18" xfId="1152" applyFont="1" applyFill="1" applyBorder="1" applyAlignment="1">
      <alignment horizontal="left"/>
    </xf>
    <xf numFmtId="0" fontId="14" fillId="26" borderId="18" xfId="1152" applyFont="1" applyFill="1" applyBorder="1" applyAlignment="1">
      <alignment horizontal="left"/>
    </xf>
    <xf numFmtId="0" fontId="14" fillId="29" borderId="18" xfId="1152" applyFont="1" applyFill="1" applyBorder="1" applyAlignment="1">
      <alignment horizontal="left"/>
    </xf>
    <xf numFmtId="0" fontId="14" fillId="39" borderId="18" xfId="1152" applyFont="1" applyFill="1" applyBorder="1" applyAlignment="1">
      <alignment horizontal="left"/>
    </xf>
    <xf numFmtId="0" fontId="14" fillId="41" borderId="18" xfId="1152" applyFont="1" applyFill="1" applyBorder="1" applyAlignment="1">
      <alignment horizontal="left"/>
    </xf>
    <xf numFmtId="0" fontId="14" fillId="43" borderId="18" xfId="1152" applyFont="1" applyFill="1" applyBorder="1" applyAlignment="1">
      <alignment horizontal="left"/>
    </xf>
    <xf numFmtId="0" fontId="14" fillId="0" borderId="18" xfId="1152" applyFont="1" applyFill="1" applyBorder="1" applyAlignment="1">
      <alignment horizontal="left"/>
    </xf>
    <xf numFmtId="0" fontId="28" fillId="0" borderId="42" xfId="1152" applyFont="1" applyBorder="1" applyAlignment="1"/>
    <xf numFmtId="0" fontId="27" fillId="0" borderId="42" xfId="1152" applyFont="1" applyBorder="1" applyAlignment="1"/>
    <xf numFmtId="0" fontId="27" fillId="0" borderId="42" xfId="1152" applyFont="1" applyBorder="1" applyAlignment="1">
      <alignment horizontal="left" wrapText="1"/>
    </xf>
    <xf numFmtId="0" fontId="28" fillId="0" borderId="42" xfId="1152" applyFont="1" applyBorder="1" applyAlignment="1">
      <alignment readingOrder="1"/>
    </xf>
    <xf numFmtId="1" fontId="27" fillId="0" borderId="42" xfId="1152" applyNumberFormat="1" applyFont="1" applyBorder="1" applyAlignment="1">
      <alignment horizontal="center"/>
    </xf>
    <xf numFmtId="40" fontId="27" fillId="0" borderId="39" xfId="1152" applyNumberFormat="1" applyFont="1" applyBorder="1"/>
    <xf numFmtId="0" fontId="3" fillId="51" borderId="0" xfId="101" applyFont="1" applyFill="1" applyBorder="1"/>
    <xf numFmtId="8" fontId="7" fillId="51" borderId="0" xfId="0" applyNumberFormat="1" applyFont="1" applyFill="1" applyBorder="1"/>
    <xf numFmtId="8" fontId="3" fillId="51" borderId="0" xfId="0" applyNumberFormat="1" applyFont="1" applyFill="1" applyBorder="1"/>
    <xf numFmtId="38" fontId="7" fillId="74" borderId="6" xfId="0" applyNumberFormat="1" applyFont="1" applyFill="1" applyBorder="1"/>
    <xf numFmtId="38" fontId="7" fillId="75" borderId="6" xfId="0" applyNumberFormat="1" applyFont="1" applyFill="1" applyBorder="1"/>
    <xf numFmtId="38" fontId="7" fillId="74" borderId="0" xfId="0" applyNumberFormat="1" applyFont="1" applyFill="1" applyBorder="1"/>
    <xf numFmtId="38" fontId="7" fillId="74" borderId="32" xfId="0" applyNumberFormat="1" applyFont="1" applyFill="1" applyBorder="1"/>
    <xf numFmtId="38" fontId="7" fillId="74" borderId="18" xfId="0" applyNumberFormat="1" applyFont="1" applyFill="1" applyBorder="1"/>
    <xf numFmtId="165" fontId="7" fillId="74" borderId="0" xfId="29" applyNumberFormat="1" applyFont="1" applyFill="1"/>
    <xf numFmtId="165" fontId="7" fillId="74" borderId="18" xfId="29" applyNumberFormat="1" applyFont="1" applyFill="1" applyBorder="1"/>
    <xf numFmtId="165" fontId="7" fillId="74" borderId="0" xfId="29" applyNumberFormat="1" applyFont="1" applyFill="1" applyBorder="1"/>
    <xf numFmtId="187" fontId="28" fillId="74" borderId="0" xfId="661" applyNumberFormat="1" applyFont="1" applyFill="1"/>
    <xf numFmtId="187" fontId="28" fillId="75" borderId="0" xfId="661" applyNumberFormat="1" applyFont="1" applyFill="1"/>
    <xf numFmtId="4" fontId="28" fillId="74" borderId="32" xfId="1152" applyNumberFormat="1" applyFont="1" applyFill="1" applyBorder="1"/>
    <xf numFmtId="4" fontId="28" fillId="75" borderId="32" xfId="1152" applyNumberFormat="1" applyFont="1" applyFill="1" applyBorder="1"/>
    <xf numFmtId="0" fontId="6" fillId="27" borderId="0" xfId="0" applyFont="1" applyFill="1" applyAlignment="1">
      <alignment horizontal="left" vertical="top" wrapText="1"/>
    </xf>
    <xf numFmtId="0" fontId="0" fillId="27" borderId="0" xfId="0" applyFill="1" applyAlignment="1">
      <alignment horizontal="center"/>
    </xf>
    <xf numFmtId="0" fontId="0" fillId="27" borderId="0" xfId="0" applyFill="1" applyAlignment="1">
      <alignment horizontal="left" vertical="top" wrapText="1"/>
    </xf>
    <xf numFmtId="0" fontId="6" fillId="44" borderId="51" xfId="0" applyFont="1" applyFill="1" applyBorder="1" applyAlignment="1">
      <alignment horizontal="center"/>
    </xf>
    <xf numFmtId="0" fontId="6" fillId="44" borderId="54" xfId="0" applyFont="1" applyFill="1" applyBorder="1" applyAlignment="1">
      <alignment horizontal="center"/>
    </xf>
    <xf numFmtId="0" fontId="6" fillId="44" borderId="55" xfId="0" applyFont="1" applyFill="1" applyBorder="1" applyAlignment="1">
      <alignment horizontal="center"/>
    </xf>
    <xf numFmtId="0" fontId="7" fillId="27" borderId="17" xfId="0" applyFont="1" applyFill="1" applyBorder="1" applyAlignment="1">
      <alignment horizontal="left"/>
    </xf>
    <xf numFmtId="0" fontId="7" fillId="27" borderId="0" xfId="0" applyFont="1" applyFill="1" applyBorder="1" applyAlignment="1">
      <alignment horizontal="left"/>
    </xf>
    <xf numFmtId="0" fontId="6" fillId="24" borderId="51" xfId="0" applyFont="1" applyFill="1" applyBorder="1" applyAlignment="1">
      <alignment horizontal="center"/>
    </xf>
    <xf numFmtId="0" fontId="6" fillId="24" borderId="54" xfId="0" applyFont="1" applyFill="1" applyBorder="1" applyAlignment="1">
      <alignment horizontal="center"/>
    </xf>
    <xf numFmtId="0" fontId="6" fillId="24" borderId="55" xfId="0" applyFont="1" applyFill="1" applyBorder="1" applyAlignment="1">
      <alignment horizontal="center"/>
    </xf>
    <xf numFmtId="0" fontId="6" fillId="0" borderId="51" xfId="0" applyFont="1" applyFill="1" applyBorder="1" applyAlignment="1">
      <alignment horizontal="left"/>
    </xf>
    <xf numFmtId="0" fontId="6" fillId="0" borderId="54" xfId="0" applyFont="1" applyFill="1" applyBorder="1" applyAlignment="1">
      <alignment horizontal="left"/>
    </xf>
    <xf numFmtId="0" fontId="6" fillId="27" borderId="26" xfId="0" applyFont="1" applyFill="1" applyBorder="1" applyAlignment="1">
      <alignment horizontal="center" vertical="top" wrapText="1"/>
    </xf>
    <xf numFmtId="0" fontId="6" fillId="27" borderId="52" xfId="0" applyFont="1" applyFill="1" applyBorder="1" applyAlignment="1">
      <alignment horizontal="center" vertical="top" wrapText="1"/>
    </xf>
    <xf numFmtId="0" fontId="6" fillId="27" borderId="26" xfId="0" applyFont="1" applyFill="1" applyBorder="1" applyAlignment="1">
      <alignment horizontal="center"/>
    </xf>
    <xf numFmtId="0" fontId="6" fillId="27" borderId="31" xfId="0" applyFont="1" applyFill="1" applyBorder="1" applyAlignment="1">
      <alignment horizontal="center"/>
    </xf>
    <xf numFmtId="0" fontId="6" fillId="27" borderId="52" xfId="0" applyFont="1" applyFill="1" applyBorder="1" applyAlignment="1">
      <alignment horizontal="center"/>
    </xf>
    <xf numFmtId="3" fontId="6" fillId="27" borderId="51" xfId="0" applyNumberFormat="1" applyFont="1" applyFill="1" applyBorder="1" applyAlignment="1">
      <alignment horizontal="center"/>
    </xf>
    <xf numFmtId="3" fontId="6" fillId="27" borderId="55" xfId="0" applyNumberFormat="1" applyFont="1" applyFill="1" applyBorder="1" applyAlignment="1">
      <alignment horizontal="center"/>
    </xf>
    <xf numFmtId="0" fontId="6" fillId="27" borderId="51" xfId="0" applyFont="1" applyFill="1" applyBorder="1" applyAlignment="1">
      <alignment horizontal="center"/>
    </xf>
    <xf numFmtId="0" fontId="6" fillId="27" borderId="54" xfId="0" applyFont="1" applyFill="1" applyBorder="1" applyAlignment="1">
      <alignment horizontal="center"/>
    </xf>
    <xf numFmtId="0" fontId="6" fillId="27" borderId="55" xfId="0" applyFont="1" applyFill="1" applyBorder="1" applyAlignment="1">
      <alignment horizontal="center"/>
    </xf>
    <xf numFmtId="0" fontId="6" fillId="27" borderId="0" xfId="0" applyFont="1" applyFill="1" applyBorder="1" applyAlignment="1">
      <alignment horizontal="center" vertical="top"/>
    </xf>
    <xf numFmtId="0" fontId="6" fillId="27" borderId="15" xfId="0" applyFont="1" applyFill="1" applyBorder="1" applyAlignment="1">
      <alignment horizontal="center" vertical="top"/>
    </xf>
    <xf numFmtId="0" fontId="6" fillId="24" borderId="26" xfId="0" applyFont="1" applyFill="1" applyBorder="1" applyAlignment="1">
      <alignment horizontal="center" vertical="top"/>
    </xf>
    <xf numFmtId="0" fontId="6" fillId="24" borderId="52" xfId="0" applyFont="1" applyFill="1" applyBorder="1" applyAlignment="1">
      <alignment horizontal="center" vertical="top"/>
    </xf>
    <xf numFmtId="0" fontId="6" fillId="44" borderId="26" xfId="0" applyFont="1" applyFill="1" applyBorder="1" applyAlignment="1">
      <alignment horizontal="center" vertical="top"/>
    </xf>
    <xf numFmtId="0" fontId="6" fillId="44" borderId="52" xfId="0" applyFont="1" applyFill="1" applyBorder="1" applyAlignment="1">
      <alignment horizontal="center" vertical="top"/>
    </xf>
    <xf numFmtId="38" fontId="11" fillId="27" borderId="37" xfId="34" applyNumberFormat="1" applyFont="1" applyFill="1" applyBorder="1" applyAlignment="1">
      <alignment horizontal="center" wrapText="1"/>
    </xf>
    <xf numFmtId="38" fontId="11" fillId="27" borderId="0" xfId="34" applyNumberFormat="1" applyFont="1" applyFill="1" applyBorder="1" applyAlignment="1">
      <alignment horizontal="center" wrapText="1"/>
    </xf>
    <xf numFmtId="0" fontId="11" fillId="27" borderId="37" xfId="0" applyFont="1" applyFill="1" applyBorder="1" applyAlignment="1">
      <alignment horizontal="center" wrapText="1"/>
    </xf>
    <xf numFmtId="0" fontId="11" fillId="27" borderId="0" xfId="0" applyFont="1" applyFill="1" applyBorder="1" applyAlignment="1">
      <alignment horizontal="center" wrapText="1"/>
    </xf>
    <xf numFmtId="38" fontId="11" fillId="27" borderId="37" xfId="29" applyNumberFormat="1" applyFont="1" applyFill="1" applyBorder="1" applyAlignment="1">
      <alignment horizontal="center" wrapText="1"/>
    </xf>
    <xf numFmtId="38" fontId="11" fillId="27" borderId="0" xfId="29" applyNumberFormat="1" applyFont="1" applyFill="1" applyBorder="1" applyAlignment="1">
      <alignment horizontal="center" wrapText="1"/>
    </xf>
    <xf numFmtId="0" fontId="0" fillId="0" borderId="38" xfId="0" applyFill="1" applyBorder="1" applyAlignment="1">
      <alignment horizontal="center" wrapText="1"/>
    </xf>
    <xf numFmtId="0" fontId="0" fillId="0" borderId="34" xfId="0" applyFill="1" applyBorder="1" applyAlignment="1">
      <alignment horizontal="center" wrapText="1"/>
    </xf>
    <xf numFmtId="0" fontId="0" fillId="0" borderId="40" xfId="0" applyNumberFormat="1" applyFill="1" applyBorder="1" applyAlignment="1">
      <alignment horizontal="center"/>
    </xf>
    <xf numFmtId="0" fontId="0" fillId="0" borderId="10" xfId="0" applyNumberFormat="1" applyFill="1" applyBorder="1" applyAlignment="1">
      <alignment horizontal="center"/>
    </xf>
    <xf numFmtId="0" fontId="3" fillId="0" borderId="38" xfId="0" applyFont="1" applyFill="1" applyBorder="1" applyAlignment="1">
      <alignment horizontal="center" wrapText="1"/>
    </xf>
  </cellXfs>
  <cellStyles count="1382">
    <cellStyle name=" 1" xfId="836"/>
    <cellStyle name="_115 Timaru Budget" xfId="837"/>
    <cellStyle name="_115 Timaru Budget_1" xfId="838"/>
    <cellStyle name="_115 Timaru Budget_1_Capital Projects Report_Consolidated Template" xfId="839"/>
    <cellStyle name="_115 Timaru Budget_1_FINAL - Tranz Metro Operational Model 2009-10" xfId="840"/>
    <cellStyle name="_115 Timaru Budget_2" xfId="841"/>
    <cellStyle name="_115 Timaru Budget_2_Capital Projects Report_Consolidated Template" xfId="842"/>
    <cellStyle name="_115 Timaru Budget_2_FINAL - Tranz Metro Operational Model 2009-10" xfId="843"/>
    <cellStyle name="_115 Timaru Budget_3" xfId="844"/>
    <cellStyle name="_115 Timaru Budget_3_Cost Forecast" xfId="845"/>
    <cellStyle name="_115 Timaru Budget_3_FINAL - Tranz Metro Operational Model 2009-10" xfId="846"/>
    <cellStyle name="_115 Timaru Budget_Capital Projects Report_Consolidated Template" xfId="847"/>
    <cellStyle name="_115 Timaru Budget_FINAL - Tranz Metro Operational Model 2009-10" xfId="848"/>
    <cellStyle name="_TTL Jul 07" xfId="849"/>
    <cellStyle name="_TTL Jul 07_Capital Projects Report_Consolidated Template" xfId="850"/>
    <cellStyle name="_TTL Jul 07_Cost Forecast" xfId="851"/>
    <cellStyle name="_TTL Jul 07_FINAL - Tranz Metro Operational Model 2009-10" xfId="852"/>
    <cellStyle name="20% - Accent1" xfId="1" builtinId="30" customBuiltin="1"/>
    <cellStyle name="20% - Accent1 10" xfId="122"/>
    <cellStyle name="20% - Accent1 10 2" xfId="853"/>
    <cellStyle name="20% - Accent1 10 3" xfId="854"/>
    <cellStyle name="20% - Accent1 11" xfId="123"/>
    <cellStyle name="20% - Accent1 11 2" xfId="855"/>
    <cellStyle name="20% - Accent1 11 3" xfId="856"/>
    <cellStyle name="20% - Accent1 12" xfId="124"/>
    <cellStyle name="20% - Accent1 12 2" xfId="857"/>
    <cellStyle name="20% - Accent1 13" xfId="125"/>
    <cellStyle name="20% - Accent1 13 2" xfId="858"/>
    <cellStyle name="20% - Accent1 14" xfId="126"/>
    <cellStyle name="20% - Accent1 2" xfId="127"/>
    <cellStyle name="20% - Accent1 2 2" xfId="859"/>
    <cellStyle name="20% - Accent1 2 3" xfId="860"/>
    <cellStyle name="20% - Accent1 3" xfId="128"/>
    <cellStyle name="20% - Accent1 3 2" xfId="861"/>
    <cellStyle name="20% - Accent1 3 3" xfId="862"/>
    <cellStyle name="20% - Accent1 4" xfId="129"/>
    <cellStyle name="20% - Accent1 4 2" xfId="863"/>
    <cellStyle name="20% - Accent1 4 3" xfId="864"/>
    <cellStyle name="20% - Accent1 5" xfId="130"/>
    <cellStyle name="20% - Accent1 5 2" xfId="865"/>
    <cellStyle name="20% - Accent1 5 3" xfId="866"/>
    <cellStyle name="20% - Accent1 6" xfId="131"/>
    <cellStyle name="20% - Accent1 6 2" xfId="867"/>
    <cellStyle name="20% - Accent1 6 3" xfId="868"/>
    <cellStyle name="20% - Accent1 7" xfId="132"/>
    <cellStyle name="20% - Accent1 7 2" xfId="869"/>
    <cellStyle name="20% - Accent1 7 3" xfId="870"/>
    <cellStyle name="20% - Accent1 8" xfId="133"/>
    <cellStyle name="20% - Accent1 8 2" xfId="871"/>
    <cellStyle name="20% - Accent1 8 3" xfId="872"/>
    <cellStyle name="20% - Accent1 9" xfId="134"/>
    <cellStyle name="20% - Accent1 9 2" xfId="873"/>
    <cellStyle name="20% - Accent1 9 3" xfId="874"/>
    <cellStyle name="20% - Accent2" xfId="2" builtinId="34" customBuiltin="1"/>
    <cellStyle name="20% - Accent2 10" xfId="135"/>
    <cellStyle name="20% - Accent2 10 2" xfId="875"/>
    <cellStyle name="20% - Accent2 10 3" xfId="876"/>
    <cellStyle name="20% - Accent2 11" xfId="136"/>
    <cellStyle name="20% - Accent2 11 2" xfId="877"/>
    <cellStyle name="20% - Accent2 11 3" xfId="878"/>
    <cellStyle name="20% - Accent2 12" xfId="137"/>
    <cellStyle name="20% - Accent2 12 2" xfId="879"/>
    <cellStyle name="20% - Accent2 13" xfId="138"/>
    <cellStyle name="20% - Accent2 13 2" xfId="880"/>
    <cellStyle name="20% - Accent2 14" xfId="139"/>
    <cellStyle name="20% - Accent2 2" xfId="140"/>
    <cellStyle name="20% - Accent2 2 2" xfId="881"/>
    <cellStyle name="20% - Accent2 2 3" xfId="882"/>
    <cellStyle name="20% - Accent2 3" xfId="141"/>
    <cellStyle name="20% - Accent2 3 2" xfId="883"/>
    <cellStyle name="20% - Accent2 3 3" xfId="884"/>
    <cellStyle name="20% - Accent2 4" xfId="142"/>
    <cellStyle name="20% - Accent2 4 2" xfId="885"/>
    <cellStyle name="20% - Accent2 4 3" xfId="886"/>
    <cellStyle name="20% - Accent2 5" xfId="143"/>
    <cellStyle name="20% - Accent2 5 2" xfId="887"/>
    <cellStyle name="20% - Accent2 5 3" xfId="888"/>
    <cellStyle name="20% - Accent2 6" xfId="144"/>
    <cellStyle name="20% - Accent2 6 2" xfId="889"/>
    <cellStyle name="20% - Accent2 6 3" xfId="890"/>
    <cellStyle name="20% - Accent2 7" xfId="145"/>
    <cellStyle name="20% - Accent2 7 2" xfId="891"/>
    <cellStyle name="20% - Accent2 7 3" xfId="892"/>
    <cellStyle name="20% - Accent2 8" xfId="146"/>
    <cellStyle name="20% - Accent2 8 2" xfId="893"/>
    <cellStyle name="20% - Accent2 8 3" xfId="894"/>
    <cellStyle name="20% - Accent2 9" xfId="147"/>
    <cellStyle name="20% - Accent2 9 2" xfId="895"/>
    <cellStyle name="20% - Accent2 9 3" xfId="896"/>
    <cellStyle name="20% - Accent3" xfId="3" builtinId="38" customBuiltin="1"/>
    <cellStyle name="20% - Accent3 10" xfId="148"/>
    <cellStyle name="20% - Accent3 10 2" xfId="897"/>
    <cellStyle name="20% - Accent3 10 3" xfId="898"/>
    <cellStyle name="20% - Accent3 11" xfId="149"/>
    <cellStyle name="20% - Accent3 11 2" xfId="899"/>
    <cellStyle name="20% - Accent3 11 3" xfId="900"/>
    <cellStyle name="20% - Accent3 12" xfId="150"/>
    <cellStyle name="20% - Accent3 12 2" xfId="901"/>
    <cellStyle name="20% - Accent3 13" xfId="151"/>
    <cellStyle name="20% - Accent3 13 2" xfId="902"/>
    <cellStyle name="20% - Accent3 14" xfId="152"/>
    <cellStyle name="20% - Accent3 2" xfId="153"/>
    <cellStyle name="20% - Accent3 2 2" xfId="903"/>
    <cellStyle name="20% - Accent3 2 3" xfId="904"/>
    <cellStyle name="20% - Accent3 3" xfId="154"/>
    <cellStyle name="20% - Accent3 3 2" xfId="905"/>
    <cellStyle name="20% - Accent3 3 3" xfId="906"/>
    <cellStyle name="20% - Accent3 4" xfId="155"/>
    <cellStyle name="20% - Accent3 4 2" xfId="907"/>
    <cellStyle name="20% - Accent3 4 3" xfId="908"/>
    <cellStyle name="20% - Accent3 5" xfId="156"/>
    <cellStyle name="20% - Accent3 5 2" xfId="909"/>
    <cellStyle name="20% - Accent3 5 3" xfId="910"/>
    <cellStyle name="20% - Accent3 6" xfId="157"/>
    <cellStyle name="20% - Accent3 6 2" xfId="911"/>
    <cellStyle name="20% - Accent3 6 3" xfId="912"/>
    <cellStyle name="20% - Accent3 7" xfId="158"/>
    <cellStyle name="20% - Accent3 7 2" xfId="913"/>
    <cellStyle name="20% - Accent3 7 3" xfId="914"/>
    <cellStyle name="20% - Accent3 8" xfId="159"/>
    <cellStyle name="20% - Accent3 8 2" xfId="915"/>
    <cellStyle name="20% - Accent3 8 3" xfId="916"/>
    <cellStyle name="20% - Accent3 9" xfId="160"/>
    <cellStyle name="20% - Accent3 9 2" xfId="917"/>
    <cellStyle name="20% - Accent3 9 3" xfId="918"/>
    <cellStyle name="20% - Accent4" xfId="4" builtinId="42" customBuiltin="1"/>
    <cellStyle name="20% - Accent4 10" xfId="161"/>
    <cellStyle name="20% - Accent4 10 2" xfId="919"/>
    <cellStyle name="20% - Accent4 10 3" xfId="920"/>
    <cellStyle name="20% - Accent4 11" xfId="162"/>
    <cellStyle name="20% - Accent4 11 2" xfId="921"/>
    <cellStyle name="20% - Accent4 11 3" xfId="922"/>
    <cellStyle name="20% - Accent4 12" xfId="163"/>
    <cellStyle name="20% - Accent4 12 2" xfId="923"/>
    <cellStyle name="20% - Accent4 13" xfId="164"/>
    <cellStyle name="20% - Accent4 13 2" xfId="924"/>
    <cellStyle name="20% - Accent4 14" xfId="165"/>
    <cellStyle name="20% - Accent4 2" xfId="166"/>
    <cellStyle name="20% - Accent4 2 2" xfId="925"/>
    <cellStyle name="20% - Accent4 2 3" xfId="926"/>
    <cellStyle name="20% - Accent4 3" xfId="167"/>
    <cellStyle name="20% - Accent4 3 2" xfId="927"/>
    <cellStyle name="20% - Accent4 3 3" xfId="928"/>
    <cellStyle name="20% - Accent4 4" xfId="168"/>
    <cellStyle name="20% - Accent4 4 2" xfId="929"/>
    <cellStyle name="20% - Accent4 4 3" xfId="930"/>
    <cellStyle name="20% - Accent4 5" xfId="169"/>
    <cellStyle name="20% - Accent4 5 2" xfId="931"/>
    <cellStyle name="20% - Accent4 5 3" xfId="932"/>
    <cellStyle name="20% - Accent4 6" xfId="170"/>
    <cellStyle name="20% - Accent4 6 2" xfId="933"/>
    <cellStyle name="20% - Accent4 6 3" xfId="934"/>
    <cellStyle name="20% - Accent4 7" xfId="171"/>
    <cellStyle name="20% - Accent4 7 2" xfId="935"/>
    <cellStyle name="20% - Accent4 7 3" xfId="936"/>
    <cellStyle name="20% - Accent4 8" xfId="172"/>
    <cellStyle name="20% - Accent4 8 2" xfId="937"/>
    <cellStyle name="20% - Accent4 8 3" xfId="938"/>
    <cellStyle name="20% - Accent4 9" xfId="173"/>
    <cellStyle name="20% - Accent4 9 2" xfId="939"/>
    <cellStyle name="20% - Accent4 9 3" xfId="940"/>
    <cellStyle name="20% - Accent5" xfId="5" builtinId="46" customBuiltin="1"/>
    <cellStyle name="20% - Accent5 10" xfId="174"/>
    <cellStyle name="20% - Accent5 10 2" xfId="941"/>
    <cellStyle name="20% - Accent5 10 3" xfId="942"/>
    <cellStyle name="20% - Accent5 11" xfId="175"/>
    <cellStyle name="20% - Accent5 11 2" xfId="943"/>
    <cellStyle name="20% - Accent5 11 3" xfId="944"/>
    <cellStyle name="20% - Accent5 12" xfId="176"/>
    <cellStyle name="20% - Accent5 12 2" xfId="945"/>
    <cellStyle name="20% - Accent5 13" xfId="177"/>
    <cellStyle name="20% - Accent5 13 2" xfId="946"/>
    <cellStyle name="20% - Accent5 14" xfId="178"/>
    <cellStyle name="20% - Accent5 2" xfId="179"/>
    <cellStyle name="20% - Accent5 2 2" xfId="947"/>
    <cellStyle name="20% - Accent5 2 3" xfId="948"/>
    <cellStyle name="20% - Accent5 3" xfId="180"/>
    <cellStyle name="20% - Accent5 3 2" xfId="949"/>
    <cellStyle name="20% - Accent5 3 3" xfId="950"/>
    <cellStyle name="20% - Accent5 4" xfId="181"/>
    <cellStyle name="20% - Accent5 4 2" xfId="951"/>
    <cellStyle name="20% - Accent5 4 3" xfId="952"/>
    <cellStyle name="20% - Accent5 5" xfId="182"/>
    <cellStyle name="20% - Accent5 5 2" xfId="953"/>
    <cellStyle name="20% - Accent5 5 3" xfId="954"/>
    <cellStyle name="20% - Accent5 6" xfId="183"/>
    <cellStyle name="20% - Accent5 6 2" xfId="955"/>
    <cellStyle name="20% - Accent5 6 3" xfId="956"/>
    <cellStyle name="20% - Accent5 7" xfId="184"/>
    <cellStyle name="20% - Accent5 7 2" xfId="957"/>
    <cellStyle name="20% - Accent5 7 3" xfId="958"/>
    <cellStyle name="20% - Accent5 8" xfId="185"/>
    <cellStyle name="20% - Accent5 8 2" xfId="959"/>
    <cellStyle name="20% - Accent5 8 3" xfId="960"/>
    <cellStyle name="20% - Accent5 9" xfId="186"/>
    <cellStyle name="20% - Accent5 9 2" xfId="961"/>
    <cellStyle name="20% - Accent5 9 3" xfId="962"/>
    <cellStyle name="20% - Accent6" xfId="6" builtinId="50" customBuiltin="1"/>
    <cellStyle name="20% - Accent6 10" xfId="187"/>
    <cellStyle name="20% - Accent6 10 2" xfId="963"/>
    <cellStyle name="20% - Accent6 10 3" xfId="964"/>
    <cellStyle name="20% - Accent6 11" xfId="188"/>
    <cellStyle name="20% - Accent6 11 2" xfId="965"/>
    <cellStyle name="20% - Accent6 11 3" xfId="966"/>
    <cellStyle name="20% - Accent6 12" xfId="189"/>
    <cellStyle name="20% - Accent6 12 2" xfId="967"/>
    <cellStyle name="20% - Accent6 13" xfId="190"/>
    <cellStyle name="20% - Accent6 13 2" xfId="968"/>
    <cellStyle name="20% - Accent6 14" xfId="191"/>
    <cellStyle name="20% - Accent6 2" xfId="192"/>
    <cellStyle name="20% - Accent6 2 2" xfId="969"/>
    <cellStyle name="20% - Accent6 2 3" xfId="970"/>
    <cellStyle name="20% - Accent6 3" xfId="193"/>
    <cellStyle name="20% - Accent6 3 2" xfId="971"/>
    <cellStyle name="20% - Accent6 3 3" xfId="972"/>
    <cellStyle name="20% - Accent6 4" xfId="194"/>
    <cellStyle name="20% - Accent6 4 2" xfId="973"/>
    <cellStyle name="20% - Accent6 4 3" xfId="974"/>
    <cellStyle name="20% - Accent6 5" xfId="195"/>
    <cellStyle name="20% - Accent6 5 2" xfId="975"/>
    <cellStyle name="20% - Accent6 5 3" xfId="976"/>
    <cellStyle name="20% - Accent6 6" xfId="196"/>
    <cellStyle name="20% - Accent6 6 2" xfId="977"/>
    <cellStyle name="20% - Accent6 6 3" xfId="978"/>
    <cellStyle name="20% - Accent6 7" xfId="197"/>
    <cellStyle name="20% - Accent6 7 2" xfId="979"/>
    <cellStyle name="20% - Accent6 7 3" xfId="980"/>
    <cellStyle name="20% - Accent6 8" xfId="198"/>
    <cellStyle name="20% - Accent6 8 2" xfId="981"/>
    <cellStyle name="20% - Accent6 8 3" xfId="982"/>
    <cellStyle name="20% - Accent6 9" xfId="199"/>
    <cellStyle name="20% - Accent6 9 2" xfId="983"/>
    <cellStyle name="20% - Accent6 9 3" xfId="984"/>
    <cellStyle name="40% - Accent1" xfId="7" builtinId="31" customBuiltin="1"/>
    <cellStyle name="40% - Accent1 10" xfId="200"/>
    <cellStyle name="40% - Accent1 10 2" xfId="985"/>
    <cellStyle name="40% - Accent1 10 3" xfId="986"/>
    <cellStyle name="40% - Accent1 11" xfId="201"/>
    <cellStyle name="40% - Accent1 11 2" xfId="987"/>
    <cellStyle name="40% - Accent1 11 3" xfId="988"/>
    <cellStyle name="40% - Accent1 12" xfId="202"/>
    <cellStyle name="40% - Accent1 12 2" xfId="989"/>
    <cellStyle name="40% - Accent1 13" xfId="203"/>
    <cellStyle name="40% - Accent1 13 2" xfId="990"/>
    <cellStyle name="40% - Accent1 14" xfId="204"/>
    <cellStyle name="40% - Accent1 2" xfId="205"/>
    <cellStyle name="40% - Accent1 2 2" xfId="991"/>
    <cellStyle name="40% - Accent1 2 3" xfId="992"/>
    <cellStyle name="40% - Accent1 3" xfId="206"/>
    <cellStyle name="40% - Accent1 3 2" xfId="993"/>
    <cellStyle name="40% - Accent1 3 3" xfId="994"/>
    <cellStyle name="40% - Accent1 4" xfId="207"/>
    <cellStyle name="40% - Accent1 4 2" xfId="995"/>
    <cellStyle name="40% - Accent1 4 3" xfId="996"/>
    <cellStyle name="40% - Accent1 5" xfId="208"/>
    <cellStyle name="40% - Accent1 5 2" xfId="997"/>
    <cellStyle name="40% - Accent1 5 3" xfId="998"/>
    <cellStyle name="40% - Accent1 6" xfId="209"/>
    <cellStyle name="40% - Accent1 6 2" xfId="999"/>
    <cellStyle name="40% - Accent1 6 3" xfId="1000"/>
    <cellStyle name="40% - Accent1 7" xfId="210"/>
    <cellStyle name="40% - Accent1 7 2" xfId="1001"/>
    <cellStyle name="40% - Accent1 7 3" xfId="1002"/>
    <cellStyle name="40% - Accent1 8" xfId="211"/>
    <cellStyle name="40% - Accent1 8 2" xfId="1003"/>
    <cellStyle name="40% - Accent1 8 3" xfId="1004"/>
    <cellStyle name="40% - Accent1 9" xfId="212"/>
    <cellStyle name="40% - Accent1 9 2" xfId="1005"/>
    <cellStyle name="40% - Accent1 9 3" xfId="1006"/>
    <cellStyle name="40% - Accent2" xfId="8" builtinId="35" customBuiltin="1"/>
    <cellStyle name="40% - Accent2 10" xfId="213"/>
    <cellStyle name="40% - Accent2 10 2" xfId="1007"/>
    <cellStyle name="40% - Accent2 10 3" xfId="1008"/>
    <cellStyle name="40% - Accent2 11" xfId="214"/>
    <cellStyle name="40% - Accent2 11 2" xfId="1009"/>
    <cellStyle name="40% - Accent2 11 3" xfId="1010"/>
    <cellStyle name="40% - Accent2 12" xfId="215"/>
    <cellStyle name="40% - Accent2 12 2" xfId="1011"/>
    <cellStyle name="40% - Accent2 13" xfId="216"/>
    <cellStyle name="40% - Accent2 13 2" xfId="1012"/>
    <cellStyle name="40% - Accent2 14" xfId="217"/>
    <cellStyle name="40% - Accent2 2" xfId="218"/>
    <cellStyle name="40% - Accent2 2 2" xfId="1013"/>
    <cellStyle name="40% - Accent2 2 3" xfId="1014"/>
    <cellStyle name="40% - Accent2 3" xfId="219"/>
    <cellStyle name="40% - Accent2 3 2" xfId="1015"/>
    <cellStyle name="40% - Accent2 3 3" xfId="1016"/>
    <cellStyle name="40% - Accent2 4" xfId="220"/>
    <cellStyle name="40% - Accent2 4 2" xfId="1017"/>
    <cellStyle name="40% - Accent2 4 3" xfId="1018"/>
    <cellStyle name="40% - Accent2 5" xfId="221"/>
    <cellStyle name="40% - Accent2 5 2" xfId="1019"/>
    <cellStyle name="40% - Accent2 5 3" xfId="1020"/>
    <cellStyle name="40% - Accent2 6" xfId="222"/>
    <cellStyle name="40% - Accent2 6 2" xfId="1021"/>
    <cellStyle name="40% - Accent2 6 3" xfId="1022"/>
    <cellStyle name="40% - Accent2 7" xfId="223"/>
    <cellStyle name="40% - Accent2 7 2" xfId="1023"/>
    <cellStyle name="40% - Accent2 7 3" xfId="1024"/>
    <cellStyle name="40% - Accent2 8" xfId="224"/>
    <cellStyle name="40% - Accent2 8 2" xfId="1025"/>
    <cellStyle name="40% - Accent2 8 3" xfId="1026"/>
    <cellStyle name="40% - Accent2 9" xfId="225"/>
    <cellStyle name="40% - Accent2 9 2" xfId="1027"/>
    <cellStyle name="40% - Accent2 9 3" xfId="1028"/>
    <cellStyle name="40% - Accent3" xfId="9" builtinId="39" customBuiltin="1"/>
    <cellStyle name="40% - Accent3 10" xfId="226"/>
    <cellStyle name="40% - Accent3 10 2" xfId="1029"/>
    <cellStyle name="40% - Accent3 10 3" xfId="1030"/>
    <cellStyle name="40% - Accent3 11" xfId="227"/>
    <cellStyle name="40% - Accent3 11 2" xfId="1031"/>
    <cellStyle name="40% - Accent3 11 3" xfId="1032"/>
    <cellStyle name="40% - Accent3 12" xfId="228"/>
    <cellStyle name="40% - Accent3 12 2" xfId="1033"/>
    <cellStyle name="40% - Accent3 13" xfId="229"/>
    <cellStyle name="40% - Accent3 13 2" xfId="1034"/>
    <cellStyle name="40% - Accent3 14" xfId="230"/>
    <cellStyle name="40% - Accent3 2" xfId="231"/>
    <cellStyle name="40% - Accent3 2 2" xfId="1035"/>
    <cellStyle name="40% - Accent3 2 3" xfId="1036"/>
    <cellStyle name="40% - Accent3 3" xfId="232"/>
    <cellStyle name="40% - Accent3 3 2" xfId="1037"/>
    <cellStyle name="40% - Accent3 3 3" xfId="1038"/>
    <cellStyle name="40% - Accent3 4" xfId="233"/>
    <cellStyle name="40% - Accent3 4 2" xfId="1039"/>
    <cellStyle name="40% - Accent3 4 3" xfId="1040"/>
    <cellStyle name="40% - Accent3 5" xfId="234"/>
    <cellStyle name="40% - Accent3 5 2" xfId="1041"/>
    <cellStyle name="40% - Accent3 5 3" xfId="1042"/>
    <cellStyle name="40% - Accent3 6" xfId="235"/>
    <cellStyle name="40% - Accent3 6 2" xfId="1043"/>
    <cellStyle name="40% - Accent3 6 3" xfId="1044"/>
    <cellStyle name="40% - Accent3 7" xfId="236"/>
    <cellStyle name="40% - Accent3 7 2" xfId="1045"/>
    <cellStyle name="40% - Accent3 7 3" xfId="1046"/>
    <cellStyle name="40% - Accent3 8" xfId="237"/>
    <cellStyle name="40% - Accent3 8 2" xfId="1047"/>
    <cellStyle name="40% - Accent3 8 3" xfId="1048"/>
    <cellStyle name="40% - Accent3 9" xfId="238"/>
    <cellStyle name="40% - Accent3 9 2" xfId="1049"/>
    <cellStyle name="40% - Accent3 9 3" xfId="1050"/>
    <cellStyle name="40% - Accent4" xfId="10" builtinId="43" customBuiltin="1"/>
    <cellStyle name="40% - Accent4 10" xfId="239"/>
    <cellStyle name="40% - Accent4 10 2" xfId="1051"/>
    <cellStyle name="40% - Accent4 10 3" xfId="1052"/>
    <cellStyle name="40% - Accent4 11" xfId="240"/>
    <cellStyle name="40% - Accent4 11 2" xfId="1053"/>
    <cellStyle name="40% - Accent4 11 3" xfId="1054"/>
    <cellStyle name="40% - Accent4 12" xfId="241"/>
    <cellStyle name="40% - Accent4 12 2" xfId="1055"/>
    <cellStyle name="40% - Accent4 13" xfId="242"/>
    <cellStyle name="40% - Accent4 13 2" xfId="1056"/>
    <cellStyle name="40% - Accent4 14" xfId="243"/>
    <cellStyle name="40% - Accent4 2" xfId="244"/>
    <cellStyle name="40% - Accent4 2 2" xfId="1057"/>
    <cellStyle name="40% - Accent4 2 3" xfId="1058"/>
    <cellStyle name="40% - Accent4 3" xfId="245"/>
    <cellStyle name="40% - Accent4 3 2" xfId="1059"/>
    <cellStyle name="40% - Accent4 3 3" xfId="1060"/>
    <cellStyle name="40% - Accent4 4" xfId="246"/>
    <cellStyle name="40% - Accent4 4 2" xfId="1061"/>
    <cellStyle name="40% - Accent4 4 3" xfId="1062"/>
    <cellStyle name="40% - Accent4 5" xfId="247"/>
    <cellStyle name="40% - Accent4 5 2" xfId="1063"/>
    <cellStyle name="40% - Accent4 5 3" xfId="1064"/>
    <cellStyle name="40% - Accent4 6" xfId="248"/>
    <cellStyle name="40% - Accent4 6 2" xfId="1065"/>
    <cellStyle name="40% - Accent4 6 3" xfId="1066"/>
    <cellStyle name="40% - Accent4 7" xfId="249"/>
    <cellStyle name="40% - Accent4 7 2" xfId="1067"/>
    <cellStyle name="40% - Accent4 7 3" xfId="1068"/>
    <cellStyle name="40% - Accent4 8" xfId="250"/>
    <cellStyle name="40% - Accent4 8 2" xfId="1069"/>
    <cellStyle name="40% - Accent4 8 3" xfId="1070"/>
    <cellStyle name="40% - Accent4 9" xfId="251"/>
    <cellStyle name="40% - Accent4 9 2" xfId="1071"/>
    <cellStyle name="40% - Accent4 9 3" xfId="1072"/>
    <cellStyle name="40% - Accent5" xfId="11" builtinId="47" customBuiltin="1"/>
    <cellStyle name="40% - Accent5 10" xfId="252"/>
    <cellStyle name="40% - Accent5 10 2" xfId="1073"/>
    <cellStyle name="40% - Accent5 10 3" xfId="1074"/>
    <cellStyle name="40% - Accent5 11" xfId="253"/>
    <cellStyle name="40% - Accent5 11 2" xfId="1075"/>
    <cellStyle name="40% - Accent5 11 3" xfId="1076"/>
    <cellStyle name="40% - Accent5 12" xfId="254"/>
    <cellStyle name="40% - Accent5 12 2" xfId="1077"/>
    <cellStyle name="40% - Accent5 13" xfId="255"/>
    <cellStyle name="40% - Accent5 13 2" xfId="1078"/>
    <cellStyle name="40% - Accent5 14" xfId="256"/>
    <cellStyle name="40% - Accent5 2" xfId="257"/>
    <cellStyle name="40% - Accent5 2 2" xfId="1079"/>
    <cellStyle name="40% - Accent5 2 3" xfId="1080"/>
    <cellStyle name="40% - Accent5 3" xfId="258"/>
    <cellStyle name="40% - Accent5 3 2" xfId="1081"/>
    <cellStyle name="40% - Accent5 3 3" xfId="1082"/>
    <cellStyle name="40% - Accent5 4" xfId="259"/>
    <cellStyle name="40% - Accent5 4 2" xfId="1083"/>
    <cellStyle name="40% - Accent5 4 3" xfId="1084"/>
    <cellStyle name="40% - Accent5 5" xfId="260"/>
    <cellStyle name="40% - Accent5 5 2" xfId="1085"/>
    <cellStyle name="40% - Accent5 5 3" xfId="1086"/>
    <cellStyle name="40% - Accent5 6" xfId="261"/>
    <cellStyle name="40% - Accent5 6 2" xfId="1087"/>
    <cellStyle name="40% - Accent5 6 3" xfId="1088"/>
    <cellStyle name="40% - Accent5 7" xfId="262"/>
    <cellStyle name="40% - Accent5 7 2" xfId="1089"/>
    <cellStyle name="40% - Accent5 7 3" xfId="1090"/>
    <cellStyle name="40% - Accent5 8" xfId="263"/>
    <cellStyle name="40% - Accent5 8 2" xfId="1091"/>
    <cellStyle name="40% - Accent5 8 3" xfId="1092"/>
    <cellStyle name="40% - Accent5 9" xfId="264"/>
    <cellStyle name="40% - Accent5 9 2" xfId="1093"/>
    <cellStyle name="40% - Accent5 9 3" xfId="1094"/>
    <cellStyle name="40% - Accent6" xfId="12" builtinId="51" customBuiltin="1"/>
    <cellStyle name="40% - Accent6 10" xfId="265"/>
    <cellStyle name="40% - Accent6 10 2" xfId="1095"/>
    <cellStyle name="40% - Accent6 10 3" xfId="1096"/>
    <cellStyle name="40% - Accent6 11" xfId="266"/>
    <cellStyle name="40% - Accent6 11 2" xfId="1097"/>
    <cellStyle name="40% - Accent6 11 3" xfId="1098"/>
    <cellStyle name="40% - Accent6 12" xfId="267"/>
    <cellStyle name="40% - Accent6 12 2" xfId="1099"/>
    <cellStyle name="40% - Accent6 13" xfId="268"/>
    <cellStyle name="40% - Accent6 13 2" xfId="1100"/>
    <cellStyle name="40% - Accent6 14" xfId="269"/>
    <cellStyle name="40% - Accent6 2" xfId="270"/>
    <cellStyle name="40% - Accent6 2 2" xfId="1101"/>
    <cellStyle name="40% - Accent6 2 3" xfId="1102"/>
    <cellStyle name="40% - Accent6 3" xfId="271"/>
    <cellStyle name="40% - Accent6 3 2" xfId="1103"/>
    <cellStyle name="40% - Accent6 3 3" xfId="1104"/>
    <cellStyle name="40% - Accent6 4" xfId="272"/>
    <cellStyle name="40% - Accent6 4 2" xfId="1105"/>
    <cellStyle name="40% - Accent6 4 3" xfId="1106"/>
    <cellStyle name="40% - Accent6 5" xfId="273"/>
    <cellStyle name="40% - Accent6 5 2" xfId="1107"/>
    <cellStyle name="40% - Accent6 5 3" xfId="1108"/>
    <cellStyle name="40% - Accent6 6" xfId="274"/>
    <cellStyle name="40% - Accent6 6 2" xfId="1109"/>
    <cellStyle name="40% - Accent6 6 3" xfId="1110"/>
    <cellStyle name="40% - Accent6 7" xfId="275"/>
    <cellStyle name="40% - Accent6 7 2" xfId="1111"/>
    <cellStyle name="40% - Accent6 7 3" xfId="1112"/>
    <cellStyle name="40% - Accent6 8" xfId="276"/>
    <cellStyle name="40% - Accent6 8 2" xfId="1113"/>
    <cellStyle name="40% - Accent6 8 3" xfId="1114"/>
    <cellStyle name="40% - Accent6 9" xfId="277"/>
    <cellStyle name="40% - Accent6 9 2" xfId="1115"/>
    <cellStyle name="40% - Accent6 9 3" xfId="1116"/>
    <cellStyle name="60% - Accent1" xfId="13" builtinId="32" customBuiltin="1"/>
    <cellStyle name="60% - Accent1 10" xfId="278"/>
    <cellStyle name="60% - Accent1 11" xfId="279"/>
    <cellStyle name="60% - Accent1 12" xfId="280"/>
    <cellStyle name="60% - Accent1 13" xfId="281"/>
    <cellStyle name="60% - Accent1 14" xfId="282"/>
    <cellStyle name="60% - Accent1 2" xfId="283"/>
    <cellStyle name="60% - Accent1 3" xfId="284"/>
    <cellStyle name="60% - Accent1 4" xfId="285"/>
    <cellStyle name="60% - Accent1 5" xfId="286"/>
    <cellStyle name="60% - Accent1 6" xfId="287"/>
    <cellStyle name="60% - Accent1 7" xfId="288"/>
    <cellStyle name="60% - Accent1 8" xfId="289"/>
    <cellStyle name="60% - Accent1 9" xfId="290"/>
    <cellStyle name="60% - Accent2" xfId="14" builtinId="36" customBuiltin="1"/>
    <cellStyle name="60% - Accent2 10" xfId="291"/>
    <cellStyle name="60% - Accent2 11" xfId="292"/>
    <cellStyle name="60% - Accent2 12" xfId="293"/>
    <cellStyle name="60% - Accent2 13" xfId="294"/>
    <cellStyle name="60% - Accent2 14" xfId="295"/>
    <cellStyle name="60% - Accent2 2" xfId="296"/>
    <cellStyle name="60% - Accent2 3" xfId="297"/>
    <cellStyle name="60% - Accent2 4" xfId="298"/>
    <cellStyle name="60% - Accent2 5" xfId="299"/>
    <cellStyle name="60% - Accent2 6" xfId="300"/>
    <cellStyle name="60% - Accent2 7" xfId="301"/>
    <cellStyle name="60% - Accent2 8" xfId="302"/>
    <cellStyle name="60% - Accent2 9" xfId="303"/>
    <cellStyle name="60% - Accent3" xfId="15" builtinId="40" customBuiltin="1"/>
    <cellStyle name="60% - Accent3 10" xfId="304"/>
    <cellStyle name="60% - Accent3 11" xfId="305"/>
    <cellStyle name="60% - Accent3 12" xfId="306"/>
    <cellStyle name="60% - Accent3 13" xfId="307"/>
    <cellStyle name="60% - Accent3 14" xfId="308"/>
    <cellStyle name="60% - Accent3 2" xfId="309"/>
    <cellStyle name="60% - Accent3 3" xfId="310"/>
    <cellStyle name="60% - Accent3 4" xfId="311"/>
    <cellStyle name="60% - Accent3 5" xfId="312"/>
    <cellStyle name="60% - Accent3 6" xfId="313"/>
    <cellStyle name="60% - Accent3 7" xfId="314"/>
    <cellStyle name="60% - Accent3 8" xfId="315"/>
    <cellStyle name="60% - Accent3 9" xfId="316"/>
    <cellStyle name="60% - Accent4" xfId="16" builtinId="44" customBuiltin="1"/>
    <cellStyle name="60% - Accent4 10" xfId="317"/>
    <cellStyle name="60% - Accent4 11" xfId="318"/>
    <cellStyle name="60% - Accent4 12" xfId="319"/>
    <cellStyle name="60% - Accent4 13" xfId="320"/>
    <cellStyle name="60% - Accent4 14" xfId="321"/>
    <cellStyle name="60% - Accent4 2" xfId="322"/>
    <cellStyle name="60% - Accent4 3" xfId="323"/>
    <cellStyle name="60% - Accent4 4" xfId="324"/>
    <cellStyle name="60% - Accent4 5" xfId="325"/>
    <cellStyle name="60% - Accent4 6" xfId="326"/>
    <cellStyle name="60% - Accent4 7" xfId="327"/>
    <cellStyle name="60% - Accent4 8" xfId="328"/>
    <cellStyle name="60% - Accent4 9" xfId="329"/>
    <cellStyle name="60% - Accent5" xfId="17" builtinId="48" customBuiltin="1"/>
    <cellStyle name="60% - Accent5 10" xfId="330"/>
    <cellStyle name="60% - Accent5 11" xfId="331"/>
    <cellStyle name="60% - Accent5 12" xfId="332"/>
    <cellStyle name="60% - Accent5 13" xfId="333"/>
    <cellStyle name="60% - Accent5 14" xfId="334"/>
    <cellStyle name="60% - Accent5 2" xfId="335"/>
    <cellStyle name="60% - Accent5 3" xfId="336"/>
    <cellStyle name="60% - Accent5 4" xfId="337"/>
    <cellStyle name="60% - Accent5 5" xfId="338"/>
    <cellStyle name="60% - Accent5 6" xfId="339"/>
    <cellStyle name="60% - Accent5 7" xfId="340"/>
    <cellStyle name="60% - Accent5 8" xfId="341"/>
    <cellStyle name="60% - Accent5 9" xfId="342"/>
    <cellStyle name="60% - Accent6" xfId="18" builtinId="52" customBuiltin="1"/>
    <cellStyle name="60% - Accent6 10" xfId="343"/>
    <cellStyle name="60% - Accent6 11" xfId="344"/>
    <cellStyle name="60% - Accent6 12" xfId="345"/>
    <cellStyle name="60% - Accent6 13" xfId="346"/>
    <cellStyle name="60% - Accent6 14" xfId="347"/>
    <cellStyle name="60% - Accent6 2" xfId="348"/>
    <cellStyle name="60% - Accent6 3" xfId="349"/>
    <cellStyle name="60% - Accent6 4" xfId="350"/>
    <cellStyle name="60% - Accent6 5" xfId="351"/>
    <cellStyle name="60% - Accent6 6" xfId="352"/>
    <cellStyle name="60% - Accent6 7" xfId="353"/>
    <cellStyle name="60% - Accent6 8" xfId="354"/>
    <cellStyle name="60% - Accent6 9" xfId="355"/>
    <cellStyle name="Accent1" xfId="19" builtinId="29" customBuiltin="1"/>
    <cellStyle name="Accent1 10" xfId="356"/>
    <cellStyle name="Accent1 11" xfId="357"/>
    <cellStyle name="Accent1 12" xfId="358"/>
    <cellStyle name="Accent1 13" xfId="359"/>
    <cellStyle name="Accent1 14" xfId="360"/>
    <cellStyle name="Accent1 2" xfId="361"/>
    <cellStyle name="Accent1 3" xfId="362"/>
    <cellStyle name="Accent1 4" xfId="363"/>
    <cellStyle name="Accent1 5" xfId="364"/>
    <cellStyle name="Accent1 6" xfId="365"/>
    <cellStyle name="Accent1 7" xfId="366"/>
    <cellStyle name="Accent1 8" xfId="367"/>
    <cellStyle name="Accent1 9" xfId="368"/>
    <cellStyle name="Accent2" xfId="20" builtinId="33" customBuiltin="1"/>
    <cellStyle name="Accent2 10" xfId="369"/>
    <cellStyle name="Accent2 11" xfId="370"/>
    <cellStyle name="Accent2 12" xfId="371"/>
    <cellStyle name="Accent2 13" xfId="372"/>
    <cellStyle name="Accent2 14" xfId="373"/>
    <cellStyle name="Accent2 2" xfId="374"/>
    <cellStyle name="Accent2 3" xfId="375"/>
    <cellStyle name="Accent2 4" xfId="376"/>
    <cellStyle name="Accent2 5" xfId="377"/>
    <cellStyle name="Accent2 6" xfId="378"/>
    <cellStyle name="Accent2 7" xfId="379"/>
    <cellStyle name="Accent2 8" xfId="380"/>
    <cellStyle name="Accent2 9" xfId="381"/>
    <cellStyle name="Accent3" xfId="21" builtinId="37" customBuiltin="1"/>
    <cellStyle name="Accent3 10" xfId="382"/>
    <cellStyle name="Accent3 11" xfId="383"/>
    <cellStyle name="Accent3 12" xfId="384"/>
    <cellStyle name="Accent3 13" xfId="385"/>
    <cellStyle name="Accent3 14" xfId="386"/>
    <cellStyle name="Accent3 2" xfId="387"/>
    <cellStyle name="Accent3 3" xfId="388"/>
    <cellStyle name="Accent3 4" xfId="389"/>
    <cellStyle name="Accent3 5" xfId="390"/>
    <cellStyle name="Accent3 6" xfId="391"/>
    <cellStyle name="Accent3 7" xfId="392"/>
    <cellStyle name="Accent3 8" xfId="393"/>
    <cellStyle name="Accent3 9" xfId="394"/>
    <cellStyle name="Accent4" xfId="22" builtinId="41" customBuiltin="1"/>
    <cellStyle name="Accent4 10" xfId="395"/>
    <cellStyle name="Accent4 11" xfId="396"/>
    <cellStyle name="Accent4 12" xfId="397"/>
    <cellStyle name="Accent4 13" xfId="398"/>
    <cellStyle name="Accent4 14" xfId="399"/>
    <cellStyle name="Accent4 2" xfId="400"/>
    <cellStyle name="Accent4 3" xfId="401"/>
    <cellStyle name="Accent4 4" xfId="402"/>
    <cellStyle name="Accent4 5" xfId="403"/>
    <cellStyle name="Accent4 6" xfId="404"/>
    <cellStyle name="Accent4 7" xfId="405"/>
    <cellStyle name="Accent4 8" xfId="406"/>
    <cellStyle name="Accent4 9" xfId="407"/>
    <cellStyle name="Accent5" xfId="23" builtinId="45" customBuiltin="1"/>
    <cellStyle name="Accent5 10" xfId="408"/>
    <cellStyle name="Accent5 11" xfId="409"/>
    <cellStyle name="Accent5 12" xfId="410"/>
    <cellStyle name="Accent5 13" xfId="411"/>
    <cellStyle name="Accent5 14" xfId="412"/>
    <cellStyle name="Accent5 2" xfId="413"/>
    <cellStyle name="Accent5 3" xfId="414"/>
    <cellStyle name="Accent5 4" xfId="415"/>
    <cellStyle name="Accent5 5" xfId="416"/>
    <cellStyle name="Accent5 6" xfId="417"/>
    <cellStyle name="Accent5 7" xfId="418"/>
    <cellStyle name="Accent5 8" xfId="419"/>
    <cellStyle name="Accent5 9" xfId="420"/>
    <cellStyle name="Accent6" xfId="24" builtinId="49" customBuiltin="1"/>
    <cellStyle name="Accent6 10" xfId="421"/>
    <cellStyle name="Accent6 11" xfId="422"/>
    <cellStyle name="Accent6 12" xfId="423"/>
    <cellStyle name="Accent6 13" xfId="424"/>
    <cellStyle name="Accent6 14" xfId="425"/>
    <cellStyle name="Accent6 2" xfId="426"/>
    <cellStyle name="Accent6 3" xfId="427"/>
    <cellStyle name="Accent6 4" xfId="428"/>
    <cellStyle name="Accent6 5" xfId="429"/>
    <cellStyle name="Accent6 6" xfId="430"/>
    <cellStyle name="Accent6 7" xfId="431"/>
    <cellStyle name="Accent6 8" xfId="432"/>
    <cellStyle name="Accent6 9" xfId="433"/>
    <cellStyle name="Bad" xfId="25" builtinId="27" customBuiltin="1"/>
    <cellStyle name="Bad 10" xfId="434"/>
    <cellStyle name="Bad 11" xfId="435"/>
    <cellStyle name="Bad 12" xfId="436"/>
    <cellStyle name="Bad 13" xfId="437"/>
    <cellStyle name="Bad 14" xfId="438"/>
    <cellStyle name="Bad 2" xfId="439"/>
    <cellStyle name="Bad 2 2" xfId="440"/>
    <cellStyle name="Bad 3" xfId="441"/>
    <cellStyle name="Bad 4" xfId="442"/>
    <cellStyle name="Bad 5" xfId="443"/>
    <cellStyle name="Bad 6" xfId="444"/>
    <cellStyle name="Bad 7" xfId="445"/>
    <cellStyle name="Bad 8" xfId="446"/>
    <cellStyle name="Bad 9" xfId="447"/>
    <cellStyle name="Bold 11" xfId="26"/>
    <cellStyle name="Calculation" xfId="27" builtinId="22" customBuiltin="1"/>
    <cellStyle name="Calculation 10" xfId="448"/>
    <cellStyle name="Calculation 11" xfId="449"/>
    <cellStyle name="Calculation 12" xfId="450"/>
    <cellStyle name="Calculation 13" xfId="451"/>
    <cellStyle name="Calculation 14" xfId="452"/>
    <cellStyle name="Calculation 2" xfId="453"/>
    <cellStyle name="Calculation 3" xfId="454"/>
    <cellStyle name="Calculation 4" xfId="455"/>
    <cellStyle name="Calculation 5" xfId="456"/>
    <cellStyle name="Calculation 6" xfId="457"/>
    <cellStyle name="Calculation 7" xfId="458"/>
    <cellStyle name="Calculation 8" xfId="459"/>
    <cellStyle name="Calculation 9" xfId="460"/>
    <cellStyle name="Check Cell" xfId="28" builtinId="23" customBuiltin="1"/>
    <cellStyle name="Check Cell 10" xfId="461"/>
    <cellStyle name="Check Cell 11" xfId="462"/>
    <cellStyle name="Check Cell 12" xfId="463"/>
    <cellStyle name="Check Cell 13" xfId="464"/>
    <cellStyle name="Check Cell 14" xfId="465"/>
    <cellStyle name="Check Cell 2" xfId="466"/>
    <cellStyle name="Check Cell 3" xfId="467"/>
    <cellStyle name="Check Cell 4" xfId="468"/>
    <cellStyle name="Check Cell 5" xfId="469"/>
    <cellStyle name="Check Cell 6" xfId="470"/>
    <cellStyle name="Check Cell 7" xfId="471"/>
    <cellStyle name="Check Cell 8" xfId="472"/>
    <cellStyle name="Check Cell 9" xfId="473"/>
    <cellStyle name="Comma" xfId="29" builtinId="3"/>
    <cellStyle name="Comma 2" xfId="30"/>
    <cellStyle name="Comma 2 10" xfId="474"/>
    <cellStyle name="Comma 2 11" xfId="475"/>
    <cellStyle name="Comma 2 12" xfId="476"/>
    <cellStyle name="Comma 2 13" xfId="477"/>
    <cellStyle name="Comma 2 14" xfId="478"/>
    <cellStyle name="Comma 2 2" xfId="31"/>
    <cellStyle name="Comma 2 2 10" xfId="479"/>
    <cellStyle name="Comma 2 2 11" xfId="480"/>
    <cellStyle name="Comma 2 2 12" xfId="481"/>
    <cellStyle name="Comma 2 2 13" xfId="482"/>
    <cellStyle name="Comma 2 2 14" xfId="483"/>
    <cellStyle name="Comma 2 2 15" xfId="484"/>
    <cellStyle name="Comma 2 2 2" xfId="485"/>
    <cellStyle name="Comma 2 2 3" xfId="486"/>
    <cellStyle name="Comma 2 2 4" xfId="487"/>
    <cellStyle name="Comma 2 2 5" xfId="488"/>
    <cellStyle name="Comma 2 2 6" xfId="489"/>
    <cellStyle name="Comma 2 2 7" xfId="490"/>
    <cellStyle name="Comma 2 2 8" xfId="491"/>
    <cellStyle name="Comma 2 2 9" xfId="492"/>
    <cellStyle name="Comma 2 3" xfId="493"/>
    <cellStyle name="Comma 2 3 2" xfId="1117"/>
    <cellStyle name="Comma 2 4" xfId="494"/>
    <cellStyle name="Comma 2 5" xfId="495"/>
    <cellStyle name="Comma 2 6" xfId="496"/>
    <cellStyle name="Comma 2 7" xfId="497"/>
    <cellStyle name="Comma 2 8" xfId="498"/>
    <cellStyle name="Comma 2 9" xfId="499"/>
    <cellStyle name="Comma 3" xfId="500"/>
    <cellStyle name="Comma 3 2" xfId="826"/>
    <cellStyle name="Comma 3 2 2" xfId="1118"/>
    <cellStyle name="Comma 3 2 2 2" xfId="1349"/>
    <cellStyle name="Comma 3 2 3" xfId="1350"/>
    <cellStyle name="Comma 3 3" xfId="1119"/>
    <cellStyle name="Comma 3 3 2" xfId="1351"/>
    <cellStyle name="Comma 3 4" xfId="1352"/>
    <cellStyle name="Comma 4" xfId="501"/>
    <cellStyle name="Comma 4 2" xfId="827"/>
    <cellStyle name="Comma 4 2 2" xfId="1120"/>
    <cellStyle name="Comma 4 2 2 2" xfId="1353"/>
    <cellStyle name="Comma 4 2 3" xfId="1354"/>
    <cellStyle name="Comma 4 3" xfId="1121"/>
    <cellStyle name="Comma 4 3 2" xfId="1355"/>
    <cellStyle name="Comma 4 4" xfId="1356"/>
    <cellStyle name="Comma 5" xfId="1122"/>
    <cellStyle name="Comma_FINAL RATES 06 - DRF" xfId="32"/>
    <cellStyle name="Comma_Rateable Capital Value" xfId="33"/>
    <cellStyle name="Comma_RCV by TLA" xfId="34"/>
    <cellStyle name="Comma0" xfId="1123"/>
    <cellStyle name="Currency 10" xfId="1124"/>
    <cellStyle name="Currency 2" xfId="35"/>
    <cellStyle name="Currency 2 10" xfId="502"/>
    <cellStyle name="Currency 2 11" xfId="503"/>
    <cellStyle name="Currency 2 12" xfId="504"/>
    <cellStyle name="Currency 2 13" xfId="505"/>
    <cellStyle name="Currency 2 14" xfId="506"/>
    <cellStyle name="Currency 2 15" xfId="507"/>
    <cellStyle name="Currency 2 2" xfId="36"/>
    <cellStyle name="Currency 2 2 10" xfId="508"/>
    <cellStyle name="Currency 2 2 11" xfId="509"/>
    <cellStyle name="Currency 2 2 12" xfId="510"/>
    <cellStyle name="Currency 2 2 13" xfId="511"/>
    <cellStyle name="Currency 2 2 14" xfId="512"/>
    <cellStyle name="Currency 2 2 15" xfId="513"/>
    <cellStyle name="Currency 2 2 2" xfId="514"/>
    <cellStyle name="Currency 2 2 3" xfId="515"/>
    <cellStyle name="Currency 2 2 4" xfId="516"/>
    <cellStyle name="Currency 2 2 5" xfId="517"/>
    <cellStyle name="Currency 2 2 6" xfId="518"/>
    <cellStyle name="Currency 2 2 7" xfId="519"/>
    <cellStyle name="Currency 2 2 8" xfId="520"/>
    <cellStyle name="Currency 2 2 9" xfId="521"/>
    <cellStyle name="Currency 2 3" xfId="522"/>
    <cellStyle name="Currency 2 3 2" xfId="1125"/>
    <cellStyle name="Currency 2 4" xfId="523"/>
    <cellStyle name="Currency 2 5" xfId="524"/>
    <cellStyle name="Currency 2 6" xfId="525"/>
    <cellStyle name="Currency 2 7" xfId="526"/>
    <cellStyle name="Currency 2 8" xfId="527"/>
    <cellStyle name="Currency 2 9" xfId="528"/>
    <cellStyle name="Currency 3" xfId="37"/>
    <cellStyle name="Currency 3 2" xfId="529"/>
    <cellStyle name="Currency 31" xfId="530"/>
    <cellStyle name="Currency 4" xfId="531"/>
    <cellStyle name="Currency 4 2" xfId="532"/>
    <cellStyle name="Currency 4 3" xfId="828"/>
    <cellStyle name="Currency 4 3 2" xfId="1126"/>
    <cellStyle name="Currency 4 3 2 2" xfId="1357"/>
    <cellStyle name="Currency 4 3 3" xfId="1358"/>
    <cellStyle name="Currency 4 4" xfId="1127"/>
    <cellStyle name="Currency 4 4 2" xfId="1359"/>
    <cellStyle name="Currency 4 5" xfId="1360"/>
    <cellStyle name="Currency 5" xfId="533"/>
    <cellStyle name="Currency 6" xfId="534"/>
    <cellStyle name="Currency 7" xfId="535"/>
    <cellStyle name="Currency 8" xfId="536"/>
    <cellStyle name="Currency 9" xfId="537"/>
    <cellStyle name="Currency 9 2" xfId="829"/>
    <cellStyle name="Currency 9 2 2" xfId="1128"/>
    <cellStyle name="Currency 9 2 2 2" xfId="1361"/>
    <cellStyle name="Currency 9 2 3" xfId="1362"/>
    <cellStyle name="Currency 9 3" xfId="1129"/>
    <cellStyle name="Currency 9 3 2" xfId="1363"/>
    <cellStyle name="Currency 9 4" xfId="1364"/>
    <cellStyle name="Currency0" xfId="1130"/>
    <cellStyle name="Date" xfId="38"/>
    <cellStyle name="Decimal 1" xfId="39"/>
    <cellStyle name="Decimal 2" xfId="40"/>
    <cellStyle name="Decimal 3" xfId="41"/>
    <cellStyle name="Decimal 3 2" xfId="538"/>
    <cellStyle name="Decimal 3 3" xfId="539"/>
    <cellStyle name="Decimal 3 4" xfId="540"/>
    <cellStyle name="Decimal 3 5" xfId="541"/>
    <cellStyle name="Decimal 3 6" xfId="542"/>
    <cellStyle name="Decimal 3 7" xfId="543"/>
    <cellStyle name="Explanatory Text" xfId="42" builtinId="53" customBuiltin="1"/>
    <cellStyle name="Explanatory Text 10" xfId="544"/>
    <cellStyle name="Explanatory Text 11" xfId="545"/>
    <cellStyle name="Explanatory Text 12" xfId="546"/>
    <cellStyle name="Explanatory Text 13" xfId="547"/>
    <cellStyle name="Explanatory Text 14" xfId="548"/>
    <cellStyle name="Explanatory Text 2" xfId="549"/>
    <cellStyle name="Explanatory Text 3" xfId="550"/>
    <cellStyle name="Explanatory Text 4" xfId="551"/>
    <cellStyle name="Explanatory Text 5" xfId="552"/>
    <cellStyle name="Explanatory Text 6" xfId="553"/>
    <cellStyle name="Explanatory Text 7" xfId="554"/>
    <cellStyle name="Explanatory Text 8" xfId="555"/>
    <cellStyle name="Explanatory Text 9" xfId="556"/>
    <cellStyle name="Fixed" xfId="1131"/>
    <cellStyle name="Good" xfId="43" builtinId="26" customBuiltin="1"/>
    <cellStyle name="Good 10" xfId="557"/>
    <cellStyle name="Good 11" xfId="558"/>
    <cellStyle name="Good 12" xfId="559"/>
    <cellStyle name="Good 13" xfId="560"/>
    <cellStyle name="Good 14" xfId="561"/>
    <cellStyle name="Good 2" xfId="562"/>
    <cellStyle name="Good 3" xfId="563"/>
    <cellStyle name="Good 4" xfId="564"/>
    <cellStyle name="Good 5" xfId="565"/>
    <cellStyle name="Good 6" xfId="566"/>
    <cellStyle name="Good 7" xfId="567"/>
    <cellStyle name="Good 8" xfId="568"/>
    <cellStyle name="Good 9" xfId="569"/>
    <cellStyle name="Grey" xfId="1132"/>
    <cellStyle name="Heading 1" xfId="44" builtinId="16" customBuiltin="1"/>
    <cellStyle name="Heading 1 10" xfId="570"/>
    <cellStyle name="Heading 1 11" xfId="571"/>
    <cellStyle name="Heading 1 12" xfId="572"/>
    <cellStyle name="Heading 1 13" xfId="573"/>
    <cellStyle name="Heading 1 14" xfId="574"/>
    <cellStyle name="Heading 1 2" xfId="575"/>
    <cellStyle name="Heading 1 3" xfId="576"/>
    <cellStyle name="Heading 1 4" xfId="577"/>
    <cellStyle name="Heading 1 5" xfId="578"/>
    <cellStyle name="Heading 1 6" xfId="579"/>
    <cellStyle name="Heading 1 7" xfId="580"/>
    <cellStyle name="Heading 1 8" xfId="581"/>
    <cellStyle name="Heading 1 9" xfId="582"/>
    <cellStyle name="Heading 2" xfId="45" builtinId="17" customBuiltin="1"/>
    <cellStyle name="Heading 2 10" xfId="583"/>
    <cellStyle name="Heading 2 11" xfId="584"/>
    <cellStyle name="Heading 2 12" xfId="585"/>
    <cellStyle name="Heading 2 13" xfId="586"/>
    <cellStyle name="Heading 2 14" xfId="587"/>
    <cellStyle name="Heading 2 2" xfId="588"/>
    <cellStyle name="Heading 2 3" xfId="589"/>
    <cellStyle name="Heading 2 4" xfId="590"/>
    <cellStyle name="Heading 2 5" xfId="591"/>
    <cellStyle name="Heading 2 6" xfId="592"/>
    <cellStyle name="Heading 2 7" xfId="593"/>
    <cellStyle name="Heading 2 8" xfId="594"/>
    <cellStyle name="Heading 2 9" xfId="595"/>
    <cellStyle name="Heading 3" xfId="46" builtinId="18" customBuiltin="1"/>
    <cellStyle name="Heading 3 10" xfId="596"/>
    <cellStyle name="Heading 3 11" xfId="597"/>
    <cellStyle name="Heading 3 12" xfId="598"/>
    <cellStyle name="Heading 3 13" xfId="599"/>
    <cellStyle name="Heading 3 14" xfId="600"/>
    <cellStyle name="Heading 3 2" xfId="601"/>
    <cellStyle name="Heading 3 3" xfId="602"/>
    <cellStyle name="Heading 3 4" xfId="603"/>
    <cellStyle name="Heading 3 5" xfId="604"/>
    <cellStyle name="Heading 3 6" xfId="605"/>
    <cellStyle name="Heading 3 7" xfId="606"/>
    <cellStyle name="Heading 3 8" xfId="607"/>
    <cellStyle name="Heading 3 9" xfId="608"/>
    <cellStyle name="Heading 4" xfId="47" builtinId="19" customBuiltin="1"/>
    <cellStyle name="Heading 4 10" xfId="609"/>
    <cellStyle name="Heading 4 11" xfId="610"/>
    <cellStyle name="Heading 4 12" xfId="611"/>
    <cellStyle name="Heading 4 13" xfId="612"/>
    <cellStyle name="Heading 4 14" xfId="613"/>
    <cellStyle name="Heading 4 2" xfId="614"/>
    <cellStyle name="Heading 4 3" xfId="615"/>
    <cellStyle name="Heading 4 4" xfId="616"/>
    <cellStyle name="Heading 4 5" xfId="617"/>
    <cellStyle name="Heading 4 6" xfId="618"/>
    <cellStyle name="Heading 4 7" xfId="619"/>
    <cellStyle name="Heading 4 8" xfId="620"/>
    <cellStyle name="Heading 4 9" xfId="621"/>
    <cellStyle name="Inp%0" xfId="1133"/>
    <cellStyle name="Inp%1" xfId="1134"/>
    <cellStyle name="Inp%2" xfId="1135"/>
    <cellStyle name="Inp,0" xfId="1136"/>
    <cellStyle name="Inp,1" xfId="1137"/>
    <cellStyle name="Inp,2" xfId="1138"/>
    <cellStyle name="Input" xfId="48" builtinId="20" customBuiltin="1"/>
    <cellStyle name="Input %" xfId="49"/>
    <cellStyle name="Input [yellow]" xfId="1139"/>
    <cellStyle name="Input 1" xfId="50"/>
    <cellStyle name="Input 10" xfId="622"/>
    <cellStyle name="Input 11" xfId="623"/>
    <cellStyle name="Input 12" xfId="624"/>
    <cellStyle name="Input 13" xfId="625"/>
    <cellStyle name="Input 14" xfId="626"/>
    <cellStyle name="Input 15" xfId="627"/>
    <cellStyle name="Input 2" xfId="628"/>
    <cellStyle name="Input 3" xfId="51"/>
    <cellStyle name="Input 4" xfId="629"/>
    <cellStyle name="Input 5" xfId="630"/>
    <cellStyle name="Input 6" xfId="631"/>
    <cellStyle name="Input 7" xfId="632"/>
    <cellStyle name="Input 8" xfId="633"/>
    <cellStyle name="Input 9" xfId="634"/>
    <cellStyle name="Linked Cell" xfId="52" builtinId="24" customBuiltin="1"/>
    <cellStyle name="Linked Cell 10" xfId="635"/>
    <cellStyle name="Linked Cell 11" xfId="636"/>
    <cellStyle name="Linked Cell 12" xfId="637"/>
    <cellStyle name="Linked Cell 13" xfId="638"/>
    <cellStyle name="Linked Cell 14" xfId="639"/>
    <cellStyle name="Linked Cell 2" xfId="640"/>
    <cellStyle name="Linked Cell 3" xfId="641"/>
    <cellStyle name="Linked Cell 4" xfId="642"/>
    <cellStyle name="Linked Cell 5" xfId="643"/>
    <cellStyle name="Linked Cell 6" xfId="644"/>
    <cellStyle name="Linked Cell 7" xfId="645"/>
    <cellStyle name="Linked Cell 8" xfId="646"/>
    <cellStyle name="Linked Cell 9" xfId="647"/>
    <cellStyle name="Millares [0]_A" xfId="1140"/>
    <cellStyle name="Millares_A" xfId="1141"/>
    <cellStyle name="Moneda [0]_A" xfId="1142"/>
    <cellStyle name="Moneda_A" xfId="1143"/>
    <cellStyle name="Month" xfId="53"/>
    <cellStyle name="Neutral" xfId="54" builtinId="28" customBuiltin="1"/>
    <cellStyle name="Neutral 10" xfId="648"/>
    <cellStyle name="Neutral 11" xfId="649"/>
    <cellStyle name="Neutral 12" xfId="650"/>
    <cellStyle name="Neutral 13" xfId="651"/>
    <cellStyle name="Neutral 14"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ml%0" xfId="1144"/>
    <cellStyle name="Nml%1" xfId="1145"/>
    <cellStyle name="Nml%2" xfId="1146"/>
    <cellStyle name="Nml,0" xfId="1147"/>
    <cellStyle name="Nml,1" xfId="1148"/>
    <cellStyle name="Nml,2" xfId="1149"/>
    <cellStyle name="Normal" xfId="0" builtinId="0"/>
    <cellStyle name="Normal - Style1" xfId="1150"/>
    <cellStyle name="Normal 10" xfId="1151"/>
    <cellStyle name="Normal 10 2" xfId="1152"/>
    <cellStyle name="Normal 10 2 2" xfId="1153"/>
    <cellStyle name="Normal 10 2 3" xfId="1154"/>
    <cellStyle name="Normal 10 3" xfId="1155"/>
    <cellStyle name="Normal 10 3 2" xfId="1156"/>
    <cellStyle name="Normal 11" xfId="55"/>
    <cellStyle name="Normal 11 2" xfId="1157"/>
    <cellStyle name="Normal 11 2 2" xfId="1158"/>
    <cellStyle name="Normal 11 2 3" xfId="1159"/>
    <cellStyle name="Normal 11 3" xfId="1160"/>
    <cellStyle name="Normal 11 3 2" xfId="1161"/>
    <cellStyle name="Normal 11 4" xfId="1162"/>
    <cellStyle name="Normal 12" xfId="1163"/>
    <cellStyle name="Normal 12 2" xfId="1164"/>
    <cellStyle name="Normal 12 2 2" xfId="1165"/>
    <cellStyle name="Normal 12 2 3" xfId="1166"/>
    <cellStyle name="Normal 12 3" xfId="1167"/>
    <cellStyle name="Normal 12 3 2" xfId="1168"/>
    <cellStyle name="Normal 13" xfId="1169"/>
    <cellStyle name="Normal 13 2" xfId="1170"/>
    <cellStyle name="Normal 13 2 2" xfId="1171"/>
    <cellStyle name="Normal 13 2 3" xfId="1172"/>
    <cellStyle name="Normal 13 3" xfId="1173"/>
    <cellStyle name="Normal 13 3 2" xfId="1174"/>
    <cellStyle name="Normal 14" xfId="1175"/>
    <cellStyle name="Normal 14 2" xfId="1176"/>
    <cellStyle name="Normal 14 2 2" xfId="1177"/>
    <cellStyle name="Normal 14 2 3" xfId="1178"/>
    <cellStyle name="Normal 14 3" xfId="1179"/>
    <cellStyle name="Normal 14 3 2" xfId="1180"/>
    <cellStyle name="Normal 15" xfId="1181"/>
    <cellStyle name="Normal 15 2" xfId="1182"/>
    <cellStyle name="Normal 15 2 2" xfId="1183"/>
    <cellStyle name="Normal 15 2 3" xfId="1184"/>
    <cellStyle name="Normal 15 3" xfId="1185"/>
    <cellStyle name="Normal 15 3 2" xfId="1186"/>
    <cellStyle name="Normal 16" xfId="1187"/>
    <cellStyle name="Normal 16 2" xfId="1188"/>
    <cellStyle name="Normal 16 2 2" xfId="1189"/>
    <cellStyle name="Normal 16 2 3" xfId="1190"/>
    <cellStyle name="Normal 16 3" xfId="1191"/>
    <cellStyle name="Normal 16 3 2" xfId="1192"/>
    <cellStyle name="Normal 17" xfId="1193"/>
    <cellStyle name="Normal 17 2" xfId="1194"/>
    <cellStyle name="Normal 17 2 2" xfId="1195"/>
    <cellStyle name="Normal 17 3" xfId="1196"/>
    <cellStyle name="Normal 17 4" xfId="1197"/>
    <cellStyle name="Normal 18" xfId="1198"/>
    <cellStyle name="Normal 19" xfId="1199"/>
    <cellStyle name="Normal 2" xfId="56"/>
    <cellStyle name="Normal 2 10" xfId="661"/>
    <cellStyle name="Normal 2 10 2" xfId="1200"/>
    <cellStyle name="Normal 2 11" xfId="662"/>
    <cellStyle name="Normal 2 12" xfId="663"/>
    <cellStyle name="Normal 2 2" xfId="57"/>
    <cellStyle name="Normal 2 2 2" xfId="58"/>
    <cellStyle name="Normal 2 2 2 2" xfId="59"/>
    <cellStyle name="Normal 2 2 2 2 2" xfId="60"/>
    <cellStyle name="Normal 2 2 2 2 2 2" xfId="61"/>
    <cellStyle name="Normal 2 2 2 2 2 3" xfId="62"/>
    <cellStyle name="Normal 2 2 2 2 2 4" xfId="664"/>
    <cellStyle name="Normal 2 2 2 2 3" xfId="63"/>
    <cellStyle name="Normal 2 2 2 2 3 2" xfId="665"/>
    <cellStyle name="Normal 2 2 2 3" xfId="64"/>
    <cellStyle name="Normal 2 2 2 4" xfId="65"/>
    <cellStyle name="Normal 2 2 2 5" xfId="66"/>
    <cellStyle name="Normal 2 2 2 6" xfId="666"/>
    <cellStyle name="Normal 2 2 3" xfId="67"/>
    <cellStyle name="Normal 2 2 3 2" xfId="68"/>
    <cellStyle name="Normal 2 2 3 2 2" xfId="667"/>
    <cellStyle name="Normal 2 2 3 3" xfId="69"/>
    <cellStyle name="Normal 2 2 3 3 2" xfId="668"/>
    <cellStyle name="Normal 2 2 3 4" xfId="70"/>
    <cellStyle name="Normal 2 2 3 4 2" xfId="669"/>
    <cellStyle name="Normal 2 2 3 5" xfId="670"/>
    <cellStyle name="Normal 2 2 4" xfId="71"/>
    <cellStyle name="Normal 2 2 4 2" xfId="72"/>
    <cellStyle name="Normal 2 2 4 2 2" xfId="671"/>
    <cellStyle name="Normal 2 2 4 3" xfId="73"/>
    <cellStyle name="Normal 2 2 4 3 2" xfId="672"/>
    <cellStyle name="Normal 2 2 4 4" xfId="673"/>
    <cellStyle name="Normal 2 2 5" xfId="74"/>
    <cellStyle name="Normal 2 2 5 2" xfId="674"/>
    <cellStyle name="Normal 2 2 6" xfId="75"/>
    <cellStyle name="Normal 2 2 6 2" xfId="675"/>
    <cellStyle name="Normal 2 2 7" xfId="676"/>
    <cellStyle name="Normal 2 3" xfId="76"/>
    <cellStyle name="Normal 2 3 2" xfId="77"/>
    <cellStyle name="Normal 2 3 2 2" xfId="677"/>
    <cellStyle name="Normal 2 3 3" xfId="78"/>
    <cellStyle name="Normal 2 3 3 2" xfId="678"/>
    <cellStyle name="Normal 2 3 4" xfId="79"/>
    <cellStyle name="Normal 2 3 5" xfId="80"/>
    <cellStyle name="Normal 2 3 6" xfId="81"/>
    <cellStyle name="Normal 2 4" xfId="82"/>
    <cellStyle name="Normal 2 4 2" xfId="1201"/>
    <cellStyle name="Normal 2 5" xfId="83"/>
    <cellStyle name="Normal 2 6" xfId="84"/>
    <cellStyle name="Normal 2 6 2" xfId="679"/>
    <cellStyle name="Normal 2 7" xfId="85"/>
    <cellStyle name="Normal 2 7 2" xfId="680"/>
    <cellStyle name="Normal 2 8" xfId="86"/>
    <cellStyle name="Normal 2 8 2" xfId="681"/>
    <cellStyle name="Normal 2 9" xfId="87"/>
    <cellStyle name="Normal 2 9 2" xfId="682"/>
    <cellStyle name="Normal 20" xfId="1202"/>
    <cellStyle name="Normal 21" xfId="1203"/>
    <cellStyle name="Normal 22" xfId="1204"/>
    <cellStyle name="Normal 22 2" xfId="1205"/>
    <cellStyle name="Normal 23" xfId="1206"/>
    <cellStyle name="Normal 24" xfId="1207"/>
    <cellStyle name="Normal 25" xfId="1208"/>
    <cellStyle name="Normal 26" xfId="1209"/>
    <cellStyle name="Normal 27" xfId="1210"/>
    <cellStyle name="Normal 28" xfId="1211"/>
    <cellStyle name="Normal 29" xfId="683"/>
    <cellStyle name="Normal 29 2" xfId="1212"/>
    <cellStyle name="Normal 3" xfId="88"/>
    <cellStyle name="Normal 3 10" xfId="684"/>
    <cellStyle name="Normal 3 11" xfId="685"/>
    <cellStyle name="Normal 3 12" xfId="686"/>
    <cellStyle name="Normal 3 13" xfId="687"/>
    <cellStyle name="Normal 3 14" xfId="688"/>
    <cellStyle name="Normal 3 15" xfId="689"/>
    <cellStyle name="Normal 3 16" xfId="690"/>
    <cellStyle name="Normal 3 17" xfId="691"/>
    <cellStyle name="Normal 3 2" xfId="89"/>
    <cellStyle name="Normal 3 2 10" xfId="692"/>
    <cellStyle name="Normal 3 2 11" xfId="693"/>
    <cellStyle name="Normal 3 2 12" xfId="694"/>
    <cellStyle name="Normal 3 2 13" xfId="695"/>
    <cellStyle name="Normal 3 2 14" xfId="696"/>
    <cellStyle name="Normal 3 2 15" xfId="697"/>
    <cellStyle name="Normal 3 2 16" xfId="698"/>
    <cellStyle name="Normal 3 2 2" xfId="90"/>
    <cellStyle name="Normal 3 2 2 10" xfId="699"/>
    <cellStyle name="Normal 3 2 2 11" xfId="700"/>
    <cellStyle name="Normal 3 2 2 12" xfId="701"/>
    <cellStyle name="Normal 3 2 2 13" xfId="702"/>
    <cellStyle name="Normal 3 2 2 14" xfId="703"/>
    <cellStyle name="Normal 3 2 2 15" xfId="704"/>
    <cellStyle name="Normal 3 2 2 2" xfId="705"/>
    <cellStyle name="Normal 3 2 2 2 2" xfId="1213"/>
    <cellStyle name="Normal 3 2 2 3" xfId="706"/>
    <cellStyle name="Normal 3 2 2 4" xfId="707"/>
    <cellStyle name="Normal 3 2 2 5" xfId="708"/>
    <cellStyle name="Normal 3 2 2 6" xfId="709"/>
    <cellStyle name="Normal 3 2 2 7" xfId="710"/>
    <cellStyle name="Normal 3 2 2 8" xfId="711"/>
    <cellStyle name="Normal 3 2 2 9" xfId="712"/>
    <cellStyle name="Normal 3 2 3" xfId="91"/>
    <cellStyle name="Normal 3 2 3 2" xfId="713"/>
    <cellStyle name="Normal 3 2 4" xfId="92"/>
    <cellStyle name="Normal 3 2 4 2" xfId="714"/>
    <cellStyle name="Normal 3 2 5" xfId="715"/>
    <cellStyle name="Normal 3 2 5 2" xfId="716"/>
    <cellStyle name="Normal 3 2 6" xfId="717"/>
    <cellStyle name="Normal 3 2 7" xfId="718"/>
    <cellStyle name="Normal 3 2 8" xfId="719"/>
    <cellStyle name="Normal 3 2 9" xfId="720"/>
    <cellStyle name="Normal 3 3" xfId="93"/>
    <cellStyle name="Normal 3 3 2" xfId="1214"/>
    <cellStyle name="Normal 3 4" xfId="94"/>
    <cellStyle name="Normal 3 4 2" xfId="721"/>
    <cellStyle name="Normal 3 5" xfId="95"/>
    <cellStyle name="Normal 3 5 2" xfId="722"/>
    <cellStyle name="Normal 3 6" xfId="723"/>
    <cellStyle name="Normal 3 6 2" xfId="1215"/>
    <cellStyle name="Normal 3 7" xfId="724"/>
    <cellStyle name="Normal 3 8" xfId="725"/>
    <cellStyle name="Normal 3 9" xfId="726"/>
    <cellStyle name="Normal 30" xfId="1216"/>
    <cellStyle name="Normal 31" xfId="1217"/>
    <cellStyle name="Normal 32" xfId="1218"/>
    <cellStyle name="Normal 33" xfId="1219"/>
    <cellStyle name="Normal 34" xfId="1220"/>
    <cellStyle name="Normal 35" xfId="1221"/>
    <cellStyle name="Normal 36" xfId="1222"/>
    <cellStyle name="Normal 37" xfId="1223"/>
    <cellStyle name="Normal 38" xfId="1224"/>
    <cellStyle name="Normal 39" xfId="1225"/>
    <cellStyle name="Normal 4" xfId="96"/>
    <cellStyle name="Normal 4 2" xfId="97"/>
    <cellStyle name="Normal 4 2 2" xfId="727"/>
    <cellStyle name="Normal 4 3" xfId="98"/>
    <cellStyle name="Normal 4 3 2" xfId="728"/>
    <cellStyle name="Normal 4 3 3" xfId="1226"/>
    <cellStyle name="Normal 4 4" xfId="729"/>
    <cellStyle name="Normal 4 4 2" xfId="1227"/>
    <cellStyle name="Normal 4 5" xfId="1228"/>
    <cellStyle name="Normal 40" xfId="1229"/>
    <cellStyle name="Normal 41" xfId="1230"/>
    <cellStyle name="Normal 42" xfId="1231"/>
    <cellStyle name="Normal 43" xfId="1232"/>
    <cellStyle name="Normal 44" xfId="1233"/>
    <cellStyle name="Normal 45" xfId="1234"/>
    <cellStyle name="Normal 46" xfId="1235"/>
    <cellStyle name="Normal 47" xfId="1236"/>
    <cellStyle name="Normal 48" xfId="1237"/>
    <cellStyle name="Normal 49" xfId="1238"/>
    <cellStyle name="Normal 5" xfId="99"/>
    <cellStyle name="Normal 5 2" xfId="1239"/>
    <cellStyle name="Normal 5 2 2" xfId="1240"/>
    <cellStyle name="Normal 5 2 3" xfId="1241"/>
    <cellStyle name="Normal 5 3" xfId="1242"/>
    <cellStyle name="Normal 5 4" xfId="1243"/>
    <cellStyle name="Normal 50" xfId="1244"/>
    <cellStyle name="Normal 51" xfId="1245"/>
    <cellStyle name="Normal 52" xfId="1246"/>
    <cellStyle name="Normal 53" xfId="1247"/>
    <cellStyle name="Normal 54" xfId="1248"/>
    <cellStyle name="Normal 55" xfId="1249"/>
    <cellStyle name="Normal 56" xfId="1250"/>
    <cellStyle name="Normal 57" xfId="1251"/>
    <cellStyle name="Normal 58" xfId="1252"/>
    <cellStyle name="Normal 59" xfId="1253"/>
    <cellStyle name="Normal 6" xfId="100"/>
    <cellStyle name="Normal 6 2" xfId="830"/>
    <cellStyle name="Normal 6 2 2" xfId="1254"/>
    <cellStyle name="Normal 6 2 2 2" xfId="1365"/>
    <cellStyle name="Normal 6 2 3" xfId="1366"/>
    <cellStyle name="Normal 6 3" xfId="1255"/>
    <cellStyle name="Normal 6 3 2" xfId="1256"/>
    <cellStyle name="Normal 6 3 3" xfId="1257"/>
    <cellStyle name="Normal 6 4" xfId="1258"/>
    <cellStyle name="Normal 6 4 2" xfId="1259"/>
    <cellStyle name="Normal 60" xfId="1260"/>
    <cellStyle name="Normal 61" xfId="1261"/>
    <cellStyle name="Normal 62" xfId="1262"/>
    <cellStyle name="Normal 63" xfId="1263"/>
    <cellStyle name="Normal 64" xfId="1264"/>
    <cellStyle name="Normal 65" xfId="1265"/>
    <cellStyle name="Normal 65 2" xfId="1266"/>
    <cellStyle name="Normal 65 3" xfId="1267"/>
    <cellStyle name="Normal 66" xfId="1268"/>
    <cellStyle name="Normal 66 2" xfId="1269"/>
    <cellStyle name="Normal 66 3" xfId="1270"/>
    <cellStyle name="Normal 67" xfId="1271"/>
    <cellStyle name="Normal 67 2" xfId="1272"/>
    <cellStyle name="Normal 67 3" xfId="1273"/>
    <cellStyle name="Normal 68" xfId="1274"/>
    <cellStyle name="Normal 68 2" xfId="1275"/>
    <cellStyle name="Normal 69" xfId="1276"/>
    <cellStyle name="Normal 7" xfId="730"/>
    <cellStyle name="Normal 7 10" xfId="1277"/>
    <cellStyle name="Normal 7 10 2" xfId="1278"/>
    <cellStyle name="Normal 7 11" xfId="1279"/>
    <cellStyle name="Normal 7 11 2" xfId="1280"/>
    <cellStyle name="Normal 7 12" xfId="1281"/>
    <cellStyle name="Normal 7 13" xfId="1282"/>
    <cellStyle name="Normal 7 14" xfId="1283"/>
    <cellStyle name="Normal 7 2" xfId="831"/>
    <cellStyle name="Normal 7 2 2" xfId="1284"/>
    <cellStyle name="Normal 7 2 2 2" xfId="1367"/>
    <cellStyle name="Normal 7 2 3" xfId="1285"/>
    <cellStyle name="Normal 7 2 4" xfId="1286"/>
    <cellStyle name="Normal 7 3" xfId="1287"/>
    <cellStyle name="Normal 7 3 2" xfId="1288"/>
    <cellStyle name="Normal 7 4" xfId="1289"/>
    <cellStyle name="Normal 7 4 2" xfId="1290"/>
    <cellStyle name="Normal 7 5" xfId="1291"/>
    <cellStyle name="Normal 7 6" xfId="1292"/>
    <cellStyle name="Normal 7 6 2" xfId="1293"/>
    <cellStyle name="Normal 7 7" xfId="1294"/>
    <cellStyle name="Normal 7 7 2" xfId="1295"/>
    <cellStyle name="Normal 7 8" xfId="1296"/>
    <cellStyle name="Normal 7 8 2" xfId="1297"/>
    <cellStyle name="Normal 7 9" xfId="1298"/>
    <cellStyle name="Normal 7 9 2" xfId="1299"/>
    <cellStyle name="Normal 70" xfId="1300"/>
    <cellStyle name="Normal 71" xfId="1301"/>
    <cellStyle name="Normal 72" xfId="1302"/>
    <cellStyle name="Normal 8" xfId="731"/>
    <cellStyle name="Normal 8 2" xfId="1303"/>
    <cellStyle name="Normal 8 2 2" xfId="1304"/>
    <cellStyle name="Normal 8 2 3" xfId="1305"/>
    <cellStyle name="Normal 8 3" xfId="1306"/>
    <cellStyle name="Normal 8 3 2" xfId="1307"/>
    <cellStyle name="Normal 9" xfId="1308"/>
    <cellStyle name="Normal 9 2" xfId="1309"/>
    <cellStyle name="Normal 9 2 2" xfId="1310"/>
    <cellStyle name="Normal 9 2 3" xfId="1311"/>
    <cellStyle name="Normal 9 3" xfId="1312"/>
    <cellStyle name="Normal 9 3 2" xfId="1313"/>
    <cellStyle name="Normal_Bus Contracts 0102 Payments" xfId="101"/>
    <cellStyle name="Normal_FINAL RATES 05 - DRF" xfId="102"/>
    <cellStyle name="Normal_FINAL RATES 06 - DRF" xfId="103"/>
    <cellStyle name="Normal_RCV by TLA" xfId="104"/>
    <cellStyle name="Normal_sc" xfId="105"/>
    <cellStyle name="Normal_Sheet3" xfId="106"/>
    <cellStyle name="Note" xfId="107" builtinId="10" customBuiltin="1"/>
    <cellStyle name="Note 10" xfId="732"/>
    <cellStyle name="Note 11" xfId="733"/>
    <cellStyle name="Note 12" xfId="734"/>
    <cellStyle name="Note 13" xfId="735"/>
    <cellStyle name="Note 14" xfId="736"/>
    <cellStyle name="Note 15" xfId="832"/>
    <cellStyle name="Note 2" xfId="737"/>
    <cellStyle name="Note 2 10" xfId="1314"/>
    <cellStyle name="Note 2 10 2" xfId="1315"/>
    <cellStyle name="Note 2 11" xfId="1316"/>
    <cellStyle name="Note 2 12" xfId="1317"/>
    <cellStyle name="Note 2 13" xfId="1318"/>
    <cellStyle name="Note 2 2" xfId="1319"/>
    <cellStyle name="Note 2 2 2" xfId="1320"/>
    <cellStyle name="Note 2 3" xfId="1321"/>
    <cellStyle name="Note 2 3 2" xfId="1322"/>
    <cellStyle name="Note 2 4" xfId="1323"/>
    <cellStyle name="Note 2 4 2" xfId="1324"/>
    <cellStyle name="Note 2 5" xfId="1325"/>
    <cellStyle name="Note 2 5 2" xfId="1326"/>
    <cellStyle name="Note 2 6" xfId="1327"/>
    <cellStyle name="Note 2 6 2" xfId="1328"/>
    <cellStyle name="Note 2 7" xfId="1329"/>
    <cellStyle name="Note 2 7 2" xfId="1330"/>
    <cellStyle name="Note 2 8" xfId="1331"/>
    <cellStyle name="Note 2 8 2" xfId="1332"/>
    <cellStyle name="Note 2 9" xfId="1333"/>
    <cellStyle name="Note 2 9 2" xfId="1334"/>
    <cellStyle name="Note 3" xfId="738"/>
    <cellStyle name="Note 3 2" xfId="1335"/>
    <cellStyle name="Note 3 3" xfId="1336"/>
    <cellStyle name="Note 4" xfId="739"/>
    <cellStyle name="Note 5" xfId="740"/>
    <cellStyle name="Note 6" xfId="741"/>
    <cellStyle name="Note 7" xfId="742"/>
    <cellStyle name="Note 8" xfId="743"/>
    <cellStyle name="Note 9" xfId="744"/>
    <cellStyle name="Output" xfId="108" builtinId="21" customBuiltin="1"/>
    <cellStyle name="Output 10" xfId="745"/>
    <cellStyle name="Output 11" xfId="746"/>
    <cellStyle name="Output 12" xfId="747"/>
    <cellStyle name="Output 13" xfId="748"/>
    <cellStyle name="Output 14" xfId="749"/>
    <cellStyle name="Output 2" xfId="750"/>
    <cellStyle name="Output 3" xfId="751"/>
    <cellStyle name="Output 4" xfId="752"/>
    <cellStyle name="Output 5" xfId="753"/>
    <cellStyle name="Output 6" xfId="754"/>
    <cellStyle name="Output 7" xfId="755"/>
    <cellStyle name="Output 8" xfId="756"/>
    <cellStyle name="Output 9" xfId="757"/>
    <cellStyle name="Percent" xfId="109" builtinId="5"/>
    <cellStyle name="Percent ()" xfId="110"/>
    <cellStyle name="Percent () 2" xfId="758"/>
    <cellStyle name="Percent [2]" xfId="1337"/>
    <cellStyle name="Percent 1" xfId="111"/>
    <cellStyle name="Percent 10" xfId="759"/>
    <cellStyle name="Percent 11" xfId="760"/>
    <cellStyle name="Percent 2" xfId="112"/>
    <cellStyle name="Percent 2 10" xfId="761"/>
    <cellStyle name="Percent 2 11" xfId="762"/>
    <cellStyle name="Percent 2 12" xfId="763"/>
    <cellStyle name="Percent 2 13" xfId="764"/>
    <cellStyle name="Percent 2 14" xfId="765"/>
    <cellStyle name="Percent 2 15" xfId="766"/>
    <cellStyle name="Percent 2 2" xfId="767"/>
    <cellStyle name="Percent 2 2 2" xfId="768"/>
    <cellStyle name="Percent 2 3" xfId="769"/>
    <cellStyle name="Percent 2 4" xfId="770"/>
    <cellStyle name="Percent 2 5" xfId="771"/>
    <cellStyle name="Percent 2 6" xfId="772"/>
    <cellStyle name="Percent 2 7" xfId="773"/>
    <cellStyle name="Percent 2 8" xfId="774"/>
    <cellStyle name="Percent 2 9" xfId="775"/>
    <cellStyle name="Percent 3" xfId="113"/>
    <cellStyle name="Percent 3 2" xfId="776"/>
    <cellStyle name="Percent 4" xfId="777"/>
    <cellStyle name="Percent 4 2" xfId="833"/>
    <cellStyle name="Percent 4 2 2" xfId="1338"/>
    <cellStyle name="Percent 4 2 2 2" xfId="1368"/>
    <cellStyle name="Percent 4 2 3" xfId="1369"/>
    <cellStyle name="Percent 4 3" xfId="1339"/>
    <cellStyle name="Percent 4 3 2" xfId="1370"/>
    <cellStyle name="Percent 4 4" xfId="1371"/>
    <cellStyle name="Percent 5" xfId="778"/>
    <cellStyle name="Percent 5 2" xfId="1372"/>
    <cellStyle name="Percent 6" xfId="779"/>
    <cellStyle name="Percent 6 2" xfId="834"/>
    <cellStyle name="Percent 6 2 2" xfId="1340"/>
    <cellStyle name="Percent 6 2 2 2" xfId="1373"/>
    <cellStyle name="Percent 6 2 3" xfId="1374"/>
    <cellStyle name="Percent 6 3" xfId="1341"/>
    <cellStyle name="Percent 6 3 2" xfId="1375"/>
    <cellStyle name="Percent 6 4" xfId="1376"/>
    <cellStyle name="Percent 7" xfId="780"/>
    <cellStyle name="Percent 7 2" xfId="835"/>
    <cellStyle name="Percent 7 2 2" xfId="1342"/>
    <cellStyle name="Percent 7 2 2 2" xfId="1377"/>
    <cellStyle name="Percent 7 2 3" xfId="1378"/>
    <cellStyle name="Percent 7 3" xfId="1343"/>
    <cellStyle name="Percent 7 3 2" xfId="1379"/>
    <cellStyle name="Percent 7 4" xfId="1380"/>
    <cellStyle name="Percent 8" xfId="1344"/>
    <cellStyle name="Standaard_Balance sheet" xfId="1345"/>
    <cellStyle name="Style 1" xfId="1346"/>
    <cellStyle name="Sum" xfId="114"/>
    <cellStyle name="Sum %of HV" xfId="115"/>
    <cellStyle name="SummaryHdgs" xfId="1347"/>
    <cellStyle name="time" xfId="116"/>
    <cellStyle name="Title" xfId="117" builtinId="15" customBuiltin="1"/>
    <cellStyle name="Title 10" xfId="781"/>
    <cellStyle name="Title 11" xfId="782"/>
    <cellStyle name="Title 12" xfId="783"/>
    <cellStyle name="Title 13" xfId="784"/>
    <cellStyle name="Title 14" xfId="785"/>
    <cellStyle name="Title 2" xfId="786"/>
    <cellStyle name="Title 3" xfId="787"/>
    <cellStyle name="Title 4" xfId="788"/>
    <cellStyle name="Title 5" xfId="789"/>
    <cellStyle name="Title 6" xfId="790"/>
    <cellStyle name="Title 7" xfId="791"/>
    <cellStyle name="Title 8" xfId="792"/>
    <cellStyle name="Title 9" xfId="793"/>
    <cellStyle name="Total" xfId="118" builtinId="25" customBuiltin="1"/>
    <cellStyle name="Total 10" xfId="794"/>
    <cellStyle name="Total 11" xfId="795"/>
    <cellStyle name="Total 12" xfId="796"/>
    <cellStyle name="Total 13" xfId="797"/>
    <cellStyle name="Total 14" xfId="798"/>
    <cellStyle name="Total 2" xfId="799"/>
    <cellStyle name="Total 3" xfId="800"/>
    <cellStyle name="Total 4" xfId="801"/>
    <cellStyle name="Total 5" xfId="802"/>
    <cellStyle name="Total 6" xfId="803"/>
    <cellStyle name="Total 7" xfId="804"/>
    <cellStyle name="Total 8" xfId="805"/>
    <cellStyle name="Total 9" xfId="806"/>
    <cellStyle name="Underline 2" xfId="119"/>
    <cellStyle name="Unlocked" xfId="1348"/>
    <cellStyle name="Warning Text" xfId="120" builtinId="11" customBuiltin="1"/>
    <cellStyle name="Warning Text 10" xfId="807"/>
    <cellStyle name="Warning Text 11" xfId="808"/>
    <cellStyle name="Warning Text 12" xfId="809"/>
    <cellStyle name="Warning Text 13" xfId="810"/>
    <cellStyle name="Warning Text 14" xfId="811"/>
    <cellStyle name="Warning Text 15" xfId="1381"/>
    <cellStyle name="Warning Text 2" xfId="812"/>
    <cellStyle name="Warning Text 3" xfId="813"/>
    <cellStyle name="Warning Text 4" xfId="814"/>
    <cellStyle name="Warning Text 5" xfId="815"/>
    <cellStyle name="Warning Text 6" xfId="816"/>
    <cellStyle name="Warning Text 7" xfId="817"/>
    <cellStyle name="Warning Text 8" xfId="818"/>
    <cellStyle name="Warning Text 9" xfId="819"/>
    <cellStyle name="Year" xfId="121"/>
    <cellStyle name="Year 2" xfId="820"/>
    <cellStyle name="Year 3" xfId="821"/>
    <cellStyle name="Year 4" xfId="822"/>
    <cellStyle name="Year 5" xfId="823"/>
    <cellStyle name="Year 6" xfId="824"/>
    <cellStyle name="Year 7" xfId="825"/>
  </cellStyles>
  <dxfs count="18">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ndense val="0"/>
        <extend val="0"/>
        <color indexed="42"/>
      </font>
    </dxf>
    <dxf>
      <font>
        <b/>
        <i val="0"/>
        <condense val="0"/>
        <extend val="0"/>
      </font>
      <fill>
        <patternFill>
          <bgColor indexed="9"/>
        </patternFill>
      </fill>
    </dxf>
    <dxf>
      <font>
        <b/>
        <i val="0"/>
        <condense val="0"/>
        <extend val="0"/>
      </font>
      <fill>
        <patternFill>
          <bgColor indexed="9"/>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b/>
        <i val="0"/>
      </font>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8849" name="Line 2"/>
        <xdr:cNvSpPr>
          <a:spLocks noChangeShapeType="1"/>
        </xdr:cNvSpPr>
      </xdr:nvSpPr>
      <xdr:spPr bwMode="auto">
        <a:xfrm flipH="1">
          <a:off x="0" y="0"/>
          <a:ext cx="0" cy="0"/>
        </a:xfrm>
        <a:prstGeom prst="line">
          <a:avLst/>
        </a:prstGeom>
        <a:noFill/>
        <a:ln w="9525">
          <a:solidFill>
            <a:srgbClr val="000000"/>
          </a:solidFill>
          <a:round/>
          <a:headEnd/>
          <a:tailEnd type="triangle" w="med" len="med"/>
        </a:ln>
      </xdr:spPr>
    </xdr:sp>
    <xdr:clientData/>
  </xdr:twoCellAnchor>
  <xdr:twoCellAnchor>
    <xdr:from>
      <xdr:col>2</xdr:col>
      <xdr:colOff>0</xdr:colOff>
      <xdr:row>0</xdr:row>
      <xdr:rowOff>0</xdr:rowOff>
    </xdr:from>
    <xdr:to>
      <xdr:col>2</xdr:col>
      <xdr:colOff>0</xdr:colOff>
      <xdr:row>0</xdr:row>
      <xdr:rowOff>0</xdr:rowOff>
    </xdr:to>
    <xdr:sp macro="" textlink="">
      <xdr:nvSpPr>
        <xdr:cNvPr id="78850" name="Line 3"/>
        <xdr:cNvSpPr>
          <a:spLocks noChangeShapeType="1"/>
        </xdr:cNvSpPr>
      </xdr:nvSpPr>
      <xdr:spPr bwMode="auto">
        <a:xfrm>
          <a:off x="2105025" y="0"/>
          <a:ext cx="0" cy="0"/>
        </a:xfrm>
        <a:prstGeom prst="line">
          <a:avLst/>
        </a:prstGeom>
        <a:noFill/>
        <a:ln w="9525">
          <a:solidFill>
            <a:srgbClr val="000000"/>
          </a:solidFill>
          <a:round/>
          <a:headEnd/>
          <a:tailEnd type="triangle" w="med" len="med"/>
        </a:ln>
      </xdr:spPr>
    </xdr:sp>
    <xdr:clientData/>
  </xdr:twoCellAnchor>
  <xdr:twoCellAnchor>
    <xdr:from>
      <xdr:col>2</xdr:col>
      <xdr:colOff>0</xdr:colOff>
      <xdr:row>0</xdr:row>
      <xdr:rowOff>0</xdr:rowOff>
    </xdr:from>
    <xdr:to>
      <xdr:col>2</xdr:col>
      <xdr:colOff>0</xdr:colOff>
      <xdr:row>0</xdr:row>
      <xdr:rowOff>0</xdr:rowOff>
    </xdr:to>
    <xdr:sp macro="" textlink="">
      <xdr:nvSpPr>
        <xdr:cNvPr id="78851" name="Line 4"/>
        <xdr:cNvSpPr>
          <a:spLocks noChangeShapeType="1"/>
        </xdr:cNvSpPr>
      </xdr:nvSpPr>
      <xdr:spPr bwMode="auto">
        <a:xfrm>
          <a:off x="2105025" y="0"/>
          <a:ext cx="0" cy="0"/>
        </a:xfrm>
        <a:prstGeom prst="line">
          <a:avLst/>
        </a:prstGeom>
        <a:noFill/>
        <a:ln w="9525">
          <a:solidFill>
            <a:srgbClr val="000000"/>
          </a:solidFill>
          <a:round/>
          <a:headEnd/>
          <a:tailEnd type="triangle" w="med" len="med"/>
        </a:ln>
      </xdr:spPr>
    </xdr:sp>
    <xdr:clientData/>
  </xdr:twoCellAnchor>
  <xdr:twoCellAnchor>
    <xdr:from>
      <xdr:col>0</xdr:col>
      <xdr:colOff>171450</xdr:colOff>
      <xdr:row>0</xdr:row>
      <xdr:rowOff>0</xdr:rowOff>
    </xdr:from>
    <xdr:to>
      <xdr:col>0</xdr:col>
      <xdr:colOff>171450</xdr:colOff>
      <xdr:row>0</xdr:row>
      <xdr:rowOff>0</xdr:rowOff>
    </xdr:to>
    <xdr:sp macro="" textlink="">
      <xdr:nvSpPr>
        <xdr:cNvPr id="78852" name="Line 5"/>
        <xdr:cNvSpPr>
          <a:spLocks noChangeShapeType="1"/>
        </xdr:cNvSpPr>
      </xdr:nvSpPr>
      <xdr:spPr bwMode="auto">
        <a:xfrm>
          <a:off x="171450" y="0"/>
          <a:ext cx="0" cy="0"/>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tional%20Passenger/Tranz%20Metro%20Wellington/G.W.R.C%20and%20other%20stakeholders/GWRC/GWRC%20Reporting%20from%20Nov06/2010-11/Budget%20June%202011/Sept%2009%20Preliminary/AA%20Niks%20Files%202000/Inter%20Island%20and%20Retonnaging/TIL%20IM/Historical%20IIL%20Fares%20and%20V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inance\WaddingtonM\Davey%20files\Transport\Public%20Transport\Inflation\2002-2003%20Inflation\Small%20Operators%20Inflation%200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eetah\FICOMMON\BEANIES\TAX\FBT\2002\Q1-%20Jun%2001\FBT%20Calculat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eetah\FICOMMON\BEANIES\TAX\FBT\2002\Q3%20-%20Dec%2001\Gross%20Salary%20Dec%20Quar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eetah\FICOMMON\BEANIES\TAX\FBT\2002\Q3%20-%20Dec%2001\Trauma%20Insurance%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New%20Starts%20-%20Leavers%20from%2031%20Dec%20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irina/Local%20Settings/Temporary%20Internet%20Files/OLK28/inflation%20accrual%20sep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eetah\FICOMMON\BEANIES\Monthly2001\Recs\06-01\sxDec00%20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2"/>
      <sheetName val="Fares"/>
      <sheetName val="Vols&amp;Rev"/>
      <sheetName val="Appendix"/>
    </sheetNames>
    <sheetDataSet>
      <sheetData sheetId="0" refreshError="1"/>
      <sheetData sheetId="1" refreshError="1"/>
      <sheetData sheetId="2" refreshError="1">
        <row r="5">
          <cell r="A5">
            <v>22859.193548387098</v>
          </cell>
          <cell r="B5">
            <v>2.75</v>
          </cell>
          <cell r="C5">
            <v>1.5</v>
          </cell>
          <cell r="D5">
            <v>14</v>
          </cell>
          <cell r="F5">
            <v>36.328947368421055</v>
          </cell>
          <cell r="G5">
            <v>184.94736842105263</v>
          </cell>
        </row>
        <row r="6">
          <cell r="A6">
            <v>23469</v>
          </cell>
          <cell r="B6">
            <v>2.25</v>
          </cell>
          <cell r="C6">
            <v>1.25</v>
          </cell>
          <cell r="D6">
            <v>12</v>
          </cell>
          <cell r="F6">
            <v>28.237500000000001</v>
          </cell>
          <cell r="G6">
            <v>150.60000000000002</v>
          </cell>
        </row>
        <row r="7">
          <cell r="A7">
            <v>24259</v>
          </cell>
          <cell r="B7">
            <v>2</v>
          </cell>
          <cell r="C7">
            <v>0.75</v>
          </cell>
          <cell r="D7">
            <v>11</v>
          </cell>
          <cell r="F7">
            <v>23.623529411764707</v>
          </cell>
          <cell r="G7">
            <v>129.92941176470589</v>
          </cell>
        </row>
        <row r="8">
          <cell r="A8">
            <v>25965</v>
          </cell>
          <cell r="B8">
            <v>2.2000000000000002</v>
          </cell>
          <cell r="C8">
            <v>0.85</v>
          </cell>
          <cell r="D8">
            <v>12.1</v>
          </cell>
          <cell r="F8">
            <v>19.04137931034483</v>
          </cell>
          <cell r="G8">
            <v>104.72758620689655</v>
          </cell>
        </row>
        <row r="9">
          <cell r="A9">
            <v>26085</v>
          </cell>
          <cell r="B9">
            <v>2.4</v>
          </cell>
          <cell r="C9">
            <v>0.95</v>
          </cell>
          <cell r="D9">
            <v>13.3</v>
          </cell>
          <cell r="F9">
            <v>20.772413793103446</v>
          </cell>
          <cell r="G9">
            <v>115.11379310344827</v>
          </cell>
        </row>
        <row r="10">
          <cell r="A10">
            <v>26238</v>
          </cell>
          <cell r="B10">
            <v>3</v>
          </cell>
          <cell r="C10">
            <v>1.2</v>
          </cell>
          <cell r="D10">
            <v>14</v>
          </cell>
          <cell r="F10">
            <v>25.96551724137931</v>
          </cell>
          <cell r="G10">
            <v>121.17241379310344</v>
          </cell>
        </row>
        <row r="11">
          <cell r="A11">
            <v>27791</v>
          </cell>
          <cell r="B11">
            <v>5</v>
          </cell>
          <cell r="C11">
            <v>2</v>
          </cell>
          <cell r="D11">
            <v>21</v>
          </cell>
          <cell r="F11">
            <v>25.226130653266331</v>
          </cell>
          <cell r="G11">
            <v>105.9497487437186</v>
          </cell>
        </row>
        <row r="12">
          <cell r="A12">
            <v>28126</v>
          </cell>
          <cell r="B12">
            <v>6</v>
          </cell>
          <cell r="C12">
            <v>2.4</v>
          </cell>
          <cell r="D12">
            <v>26.25</v>
          </cell>
          <cell r="F12">
            <v>26.537444933920703</v>
          </cell>
          <cell r="G12">
            <v>116.10132158590308</v>
          </cell>
        </row>
        <row r="13">
          <cell r="A13">
            <v>28460</v>
          </cell>
          <cell r="B13">
            <v>6.75</v>
          </cell>
          <cell r="C13">
            <v>2.7</v>
          </cell>
          <cell r="D13">
            <v>28</v>
          </cell>
          <cell r="F13">
            <v>29.854625550660792</v>
          </cell>
          <cell r="G13">
            <v>123.84140969162995</v>
          </cell>
        </row>
        <row r="14">
          <cell r="A14">
            <v>28672</v>
          </cell>
          <cell r="B14">
            <v>7.6</v>
          </cell>
          <cell r="C14">
            <v>3.05</v>
          </cell>
          <cell r="D14">
            <v>31.5</v>
          </cell>
          <cell r="F14">
            <v>29.923137254901956</v>
          </cell>
          <cell r="G14">
            <v>124.0235294117647</v>
          </cell>
        </row>
        <row r="15">
          <cell r="A15">
            <v>28976</v>
          </cell>
          <cell r="B15">
            <v>8.35</v>
          </cell>
          <cell r="C15">
            <v>3.35</v>
          </cell>
          <cell r="D15">
            <v>34.65</v>
          </cell>
          <cell r="F15">
            <v>29.210452961672473</v>
          </cell>
          <cell r="G15">
            <v>121.21463414634147</v>
          </cell>
        </row>
        <row r="16">
          <cell r="A16">
            <v>29129</v>
          </cell>
          <cell r="B16">
            <v>9.4</v>
          </cell>
          <cell r="C16">
            <v>3.75</v>
          </cell>
          <cell r="D16">
            <v>39</v>
          </cell>
          <cell r="F16">
            <v>27.921893491124262</v>
          </cell>
          <cell r="G16">
            <v>115.84615384615385</v>
          </cell>
        </row>
        <row r="17">
          <cell r="A17">
            <v>29281</v>
          </cell>
          <cell r="B17">
            <v>10.35</v>
          </cell>
          <cell r="C17">
            <v>4.1500000000000004</v>
          </cell>
          <cell r="D17">
            <v>43</v>
          </cell>
          <cell r="F17">
            <v>30.743786982248519</v>
          </cell>
          <cell r="G17">
            <v>127.72781065088758</v>
          </cell>
        </row>
        <row r="18">
          <cell r="A18">
            <v>29465</v>
          </cell>
          <cell r="B18">
            <v>11.4</v>
          </cell>
          <cell r="C18">
            <v>4.55</v>
          </cell>
          <cell r="D18">
            <v>48</v>
          </cell>
          <cell r="F18">
            <v>33.862721893491127</v>
          </cell>
          <cell r="G18">
            <v>142.57988165680473</v>
          </cell>
        </row>
        <row r="19">
          <cell r="A19">
            <v>29677</v>
          </cell>
          <cell r="B19">
            <v>13.7</v>
          </cell>
          <cell r="C19">
            <v>5.45</v>
          </cell>
          <cell r="D19">
            <v>57.6</v>
          </cell>
          <cell r="F19">
            <v>35.359383033419022</v>
          </cell>
          <cell r="G19">
            <v>148.66426735218511</v>
          </cell>
        </row>
        <row r="20">
          <cell r="A20">
            <v>29983</v>
          </cell>
          <cell r="B20">
            <v>15.5</v>
          </cell>
          <cell r="C20">
            <v>6.5</v>
          </cell>
          <cell r="D20">
            <v>66.2</v>
          </cell>
          <cell r="F20">
            <v>34.202197802197801</v>
          </cell>
          <cell r="G20">
            <v>146.07648351648353</v>
          </cell>
        </row>
        <row r="21">
          <cell r="A21">
            <v>30133</v>
          </cell>
          <cell r="B21">
            <v>16.7</v>
          </cell>
          <cell r="C21">
            <v>7</v>
          </cell>
          <cell r="D21">
            <v>66.2</v>
          </cell>
          <cell r="F21">
            <v>36.850109890109891</v>
          </cell>
          <cell r="G21">
            <v>146.07648351648353</v>
          </cell>
        </row>
        <row r="22">
          <cell r="A22">
            <v>31229</v>
          </cell>
          <cell r="B22">
            <v>20</v>
          </cell>
          <cell r="C22">
            <v>10</v>
          </cell>
          <cell r="D22">
            <v>85</v>
          </cell>
          <cell r="F22">
            <v>33.41098169717138</v>
          </cell>
          <cell r="G22">
            <v>141.99667221297838</v>
          </cell>
        </row>
        <row r="23">
          <cell r="A23">
            <v>31533</v>
          </cell>
          <cell r="B23">
            <v>25</v>
          </cell>
          <cell r="C23">
            <v>12.5</v>
          </cell>
          <cell r="D23">
            <v>105</v>
          </cell>
          <cell r="F23">
            <v>37.801204819277103</v>
          </cell>
          <cell r="G23">
            <v>158.76506024096383</v>
          </cell>
        </row>
        <row r="24">
          <cell r="A24">
            <v>32356</v>
          </cell>
          <cell r="B24">
            <v>30</v>
          </cell>
          <cell r="C24">
            <v>15</v>
          </cell>
          <cell r="D24">
            <v>130</v>
          </cell>
          <cell r="F24">
            <v>35.857142857142854</v>
          </cell>
          <cell r="G24">
            <v>155.38095238095238</v>
          </cell>
        </row>
        <row r="25">
          <cell r="A25">
            <v>32721</v>
          </cell>
          <cell r="B25">
            <v>30.5</v>
          </cell>
          <cell r="C25">
            <v>15.25</v>
          </cell>
          <cell r="D25">
            <v>132.5</v>
          </cell>
          <cell r="F25">
            <v>34.916761687571267</v>
          </cell>
          <cell r="G25">
            <v>151.68757126567846</v>
          </cell>
        </row>
        <row r="26">
          <cell r="A26">
            <v>33055</v>
          </cell>
          <cell r="B26">
            <v>32</v>
          </cell>
          <cell r="C26">
            <v>16</v>
          </cell>
          <cell r="D26">
            <v>140</v>
          </cell>
          <cell r="F26">
            <v>34.033898305084747</v>
          </cell>
          <cell r="G26">
            <v>148.89830508474577</v>
          </cell>
        </row>
        <row r="27">
          <cell r="A27">
            <v>33298</v>
          </cell>
          <cell r="B27">
            <v>33</v>
          </cell>
          <cell r="C27">
            <v>16.5</v>
          </cell>
          <cell r="D27">
            <v>145</v>
          </cell>
          <cell r="F27">
            <v>34.121524201853759</v>
          </cell>
          <cell r="G27">
            <v>149.92790937178168</v>
          </cell>
        </row>
        <row r="28">
          <cell r="A28">
            <v>33420</v>
          </cell>
          <cell r="B28">
            <v>35</v>
          </cell>
          <cell r="C28">
            <v>17.5</v>
          </cell>
          <cell r="D28">
            <v>150</v>
          </cell>
          <cell r="F28">
            <v>36.189495365602475</v>
          </cell>
          <cell r="G28">
            <v>155.09783728115346</v>
          </cell>
        </row>
        <row r="29">
          <cell r="A29">
            <v>33786</v>
          </cell>
          <cell r="B29">
            <v>36</v>
          </cell>
          <cell r="C29">
            <v>18</v>
          </cell>
          <cell r="D29">
            <v>150</v>
          </cell>
          <cell r="F29">
            <v>36.881632653061224</v>
          </cell>
          <cell r="G29">
            <v>153.67346938775512</v>
          </cell>
        </row>
        <row r="30">
          <cell r="A30">
            <v>34213</v>
          </cell>
          <cell r="B30">
            <v>38</v>
          </cell>
          <cell r="C30">
            <v>19</v>
          </cell>
          <cell r="D30">
            <v>150</v>
          </cell>
          <cell r="F30">
            <v>38.420946626384698</v>
          </cell>
          <cell r="G30">
            <v>151.6616314199396</v>
          </cell>
        </row>
        <row r="31">
          <cell r="A31">
            <v>34973</v>
          </cell>
          <cell r="B31">
            <v>44</v>
          </cell>
          <cell r="C31">
            <v>22</v>
          </cell>
          <cell r="D31">
            <v>160</v>
          </cell>
          <cell r="F31">
            <v>44</v>
          </cell>
          <cell r="G31">
            <v>160</v>
          </cell>
        </row>
      </sheetData>
      <sheetData sheetId="3" refreshError="1">
        <row r="3">
          <cell r="A3">
            <v>1963</v>
          </cell>
          <cell r="H3">
            <v>110143</v>
          </cell>
          <cell r="K3">
            <v>21474</v>
          </cell>
          <cell r="M3">
            <v>608340</v>
          </cell>
          <cell r="O3">
            <v>7830427.692307693</v>
          </cell>
        </row>
        <row r="4">
          <cell r="A4">
            <v>1964</v>
          </cell>
          <cell r="H4">
            <v>172778</v>
          </cell>
          <cell r="K4">
            <v>37362</v>
          </cell>
          <cell r="M4">
            <v>919180</v>
          </cell>
          <cell r="O4">
            <v>11535709</v>
          </cell>
        </row>
        <row r="5">
          <cell r="A5">
            <v>1965</v>
          </cell>
          <cell r="H5">
            <v>193028</v>
          </cell>
          <cell r="K5">
            <v>45592</v>
          </cell>
          <cell r="M5">
            <v>972510</v>
          </cell>
          <cell r="O5">
            <v>11763855.903614458</v>
          </cell>
        </row>
        <row r="6">
          <cell r="A6">
            <v>1966</v>
          </cell>
          <cell r="H6">
            <v>197941</v>
          </cell>
          <cell r="K6">
            <v>51216</v>
          </cell>
          <cell r="M6">
            <v>907682</v>
          </cell>
          <cell r="O6">
            <v>10721326.211764706</v>
          </cell>
        </row>
        <row r="7">
          <cell r="A7">
            <v>1967</v>
          </cell>
          <cell r="H7">
            <v>294812</v>
          </cell>
          <cell r="K7">
            <v>60690</v>
          </cell>
          <cell r="M7">
            <v>1169354</v>
          </cell>
          <cell r="O7">
            <v>12901444.131868131</v>
          </cell>
        </row>
        <row r="8">
          <cell r="A8">
            <v>1968</v>
          </cell>
          <cell r="H8">
            <v>312855</v>
          </cell>
          <cell r="K8">
            <v>66067</v>
          </cell>
          <cell r="M8">
            <v>1245516</v>
          </cell>
          <cell r="O8">
            <v>13303170.893617021</v>
          </cell>
        </row>
        <row r="9">
          <cell r="A9">
            <v>1969</v>
          </cell>
          <cell r="H9">
            <v>349250</v>
          </cell>
          <cell r="K9">
            <v>76067</v>
          </cell>
          <cell r="M9">
            <v>1398189</v>
          </cell>
          <cell r="O9">
            <v>14179613.696969697</v>
          </cell>
        </row>
        <row r="10">
          <cell r="A10">
            <v>1970</v>
          </cell>
          <cell r="H10">
            <v>408285</v>
          </cell>
          <cell r="K10">
            <v>82006</v>
          </cell>
          <cell r="M10">
            <v>1604181</v>
          </cell>
          <cell r="O10">
            <v>15486516.576923076</v>
          </cell>
        </row>
        <row r="11">
          <cell r="A11">
            <v>1971</v>
          </cell>
          <cell r="H11">
            <v>423675</v>
          </cell>
          <cell r="K11">
            <v>83161</v>
          </cell>
          <cell r="M11">
            <v>1746116</v>
          </cell>
          <cell r="O11">
            <v>15112935.034482758</v>
          </cell>
        </row>
        <row r="12">
          <cell r="A12">
            <v>1972</v>
          </cell>
          <cell r="H12">
            <v>484339</v>
          </cell>
          <cell r="K12">
            <v>89557</v>
          </cell>
          <cell r="M12">
            <v>2313299</v>
          </cell>
          <cell r="O12">
            <v>18730259.645161293</v>
          </cell>
        </row>
        <row r="13">
          <cell r="A13">
            <v>1973</v>
          </cell>
          <cell r="H13">
            <v>521604</v>
          </cell>
          <cell r="K13">
            <v>104223</v>
          </cell>
          <cell r="M13">
            <v>2993350</v>
          </cell>
          <cell r="O13">
            <v>22427786.567164179</v>
          </cell>
        </row>
        <row r="14">
          <cell r="A14">
            <v>1974</v>
          </cell>
          <cell r="H14">
            <v>575352</v>
          </cell>
          <cell r="K14">
            <v>121553</v>
          </cell>
          <cell r="M14">
            <v>3447015</v>
          </cell>
          <cell r="O14">
            <v>23542877.959183671</v>
          </cell>
        </row>
        <row r="15">
          <cell r="A15">
            <v>1975</v>
          </cell>
          <cell r="H15">
            <v>647206</v>
          </cell>
          <cell r="K15">
            <v>132746</v>
          </cell>
          <cell r="M15">
            <v>3680830</v>
          </cell>
          <cell r="O15">
            <v>21867179.408284023</v>
          </cell>
        </row>
        <row r="16">
          <cell r="A16">
            <v>1976</v>
          </cell>
          <cell r="H16">
            <v>642240</v>
          </cell>
          <cell r="K16">
            <v>134378</v>
          </cell>
          <cell r="M16">
            <v>4087331</v>
          </cell>
          <cell r="O16">
            <v>20621509.165829144</v>
          </cell>
        </row>
        <row r="17">
          <cell r="A17">
            <v>1977</v>
          </cell>
          <cell r="H17">
            <v>668425</v>
          </cell>
          <cell r="K17">
            <v>141646</v>
          </cell>
          <cell r="M17">
            <v>6550211</v>
          </cell>
          <cell r="O17">
            <v>28970977.286343612</v>
          </cell>
        </row>
        <row r="18">
          <cell r="A18">
            <v>1978</v>
          </cell>
          <cell r="H18">
            <v>707184</v>
          </cell>
          <cell r="K18">
            <v>148228</v>
          </cell>
          <cell r="M18">
            <v>7962323</v>
          </cell>
          <cell r="O18">
            <v>31349695.262745097</v>
          </cell>
        </row>
        <row r="19">
          <cell r="A19">
            <v>1979</v>
          </cell>
          <cell r="H19">
            <v>676697</v>
          </cell>
          <cell r="K19">
            <v>144551</v>
          </cell>
          <cell r="M19">
            <v>9071778</v>
          </cell>
          <cell r="O19">
            <v>31735418.508710802</v>
          </cell>
        </row>
        <row r="20">
          <cell r="A20">
            <v>1980</v>
          </cell>
          <cell r="H20">
            <v>670975</v>
          </cell>
          <cell r="K20">
            <v>132904</v>
          </cell>
          <cell r="M20">
            <v>10493328</v>
          </cell>
          <cell r="O20">
            <v>31169530.508875739</v>
          </cell>
        </row>
        <row r="21">
          <cell r="A21">
            <v>1981</v>
          </cell>
          <cell r="H21">
            <v>690140</v>
          </cell>
          <cell r="K21">
            <v>136790</v>
          </cell>
          <cell r="M21">
            <v>13281479</v>
          </cell>
          <cell r="O21">
            <v>34279190.01542417</v>
          </cell>
        </row>
        <row r="22">
          <cell r="A22">
            <v>1982</v>
          </cell>
          <cell r="H22">
            <v>760470</v>
          </cell>
          <cell r="K22">
            <v>147248</v>
          </cell>
          <cell r="M22">
            <v>17944804</v>
          </cell>
          <cell r="O22">
            <v>39596886.189010993</v>
          </cell>
        </row>
        <row r="23">
          <cell r="A23">
            <v>1983</v>
          </cell>
          <cell r="H23">
            <v>756656</v>
          </cell>
          <cell r="K23">
            <v>141324</v>
          </cell>
          <cell r="M23">
            <v>20888926</v>
          </cell>
          <cell r="O23">
            <v>42540530.839756593</v>
          </cell>
        </row>
        <row r="24">
          <cell r="A24">
            <v>1984</v>
          </cell>
          <cell r="H24">
            <v>715596</v>
          </cell>
          <cell r="K24">
            <v>138597</v>
          </cell>
          <cell r="M24">
            <v>20993565</v>
          </cell>
          <cell r="O24">
            <v>40847944.302325577</v>
          </cell>
        </row>
        <row r="25">
          <cell r="A25">
            <v>1985</v>
          </cell>
          <cell r="H25">
            <v>723689</v>
          </cell>
          <cell r="K25">
            <v>144333</v>
          </cell>
          <cell r="M25">
            <v>20950651</v>
          </cell>
          <cell r="O25">
            <v>34999090.855241269</v>
          </cell>
        </row>
        <row r="26">
          <cell r="A26">
            <v>1986</v>
          </cell>
          <cell r="H26">
            <v>705278</v>
          </cell>
          <cell r="K26">
            <v>151684</v>
          </cell>
          <cell r="M26">
            <v>24465585</v>
          </cell>
          <cell r="O26">
            <v>36993143.584337346</v>
          </cell>
        </row>
        <row r="27">
          <cell r="A27">
            <v>1987</v>
          </cell>
          <cell r="H27">
            <v>695311</v>
          </cell>
          <cell r="K27">
            <v>157585</v>
          </cell>
          <cell r="M27">
            <v>28229935</v>
          </cell>
          <cell r="O27">
            <v>35877031.316455692</v>
          </cell>
        </row>
        <row r="28">
          <cell r="A28">
            <v>1988</v>
          </cell>
          <cell r="H28">
            <v>677576</v>
          </cell>
          <cell r="K28">
            <v>160425</v>
          </cell>
          <cell r="M28">
            <v>29589000</v>
          </cell>
          <cell r="O28">
            <v>35365900</v>
          </cell>
        </row>
        <row r="29">
          <cell r="A29">
            <v>1989</v>
          </cell>
          <cell r="H29">
            <v>642223</v>
          </cell>
          <cell r="K29">
            <v>151896</v>
          </cell>
          <cell r="M29">
            <v>29750000</v>
          </cell>
          <cell r="O29">
            <v>34058152.793614596</v>
          </cell>
        </row>
        <row r="30">
          <cell r="A30">
            <v>1990</v>
          </cell>
          <cell r="H30">
            <v>739918</v>
          </cell>
          <cell r="K30">
            <v>162246</v>
          </cell>
          <cell r="M30">
            <v>30870000</v>
          </cell>
          <cell r="O30">
            <v>32832076.271186441</v>
          </cell>
        </row>
        <row r="31">
          <cell r="A31">
            <v>1991</v>
          </cell>
          <cell r="H31">
            <v>830383</v>
          </cell>
          <cell r="K31">
            <v>195215</v>
          </cell>
          <cell r="M31">
            <v>37000000</v>
          </cell>
          <cell r="O31">
            <v>38257466.52935119</v>
          </cell>
        </row>
        <row r="32">
          <cell r="A32">
            <v>1992</v>
          </cell>
          <cell r="H32">
            <v>808705</v>
          </cell>
          <cell r="K32">
            <v>177897</v>
          </cell>
          <cell r="M32">
            <v>38100000</v>
          </cell>
          <cell r="O32">
            <v>39033061.224489801</v>
          </cell>
        </row>
        <row r="33">
          <cell r="A33">
            <v>1993</v>
          </cell>
          <cell r="H33">
            <v>922540</v>
          </cell>
          <cell r="K33">
            <v>172493</v>
          </cell>
          <cell r="M33">
            <v>39600000</v>
          </cell>
          <cell r="O33">
            <v>40038670.69486405</v>
          </cell>
        </row>
        <row r="34">
          <cell r="A34">
            <v>1994</v>
          </cell>
          <cell r="H34">
            <v>966364</v>
          </cell>
          <cell r="K34">
            <v>181148</v>
          </cell>
          <cell r="M34">
            <v>42500000</v>
          </cell>
          <cell r="O34">
            <v>42500000</v>
          </cell>
        </row>
        <row r="35">
          <cell r="A35">
            <v>1995</v>
          </cell>
          <cell r="H35">
            <v>1065110</v>
          </cell>
          <cell r="K35">
            <v>209547</v>
          </cell>
          <cell r="M35">
            <v>47400000</v>
          </cell>
          <cell r="O35">
            <v>46056083.483938672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ast by West"/>
      <sheetName val="Runciman"/>
      <sheetName val="Wai Coach"/>
      <sheetName val="Tranzit Wai"/>
      <sheetName val="CCS"/>
    </sheetNames>
    <sheetDataSet>
      <sheetData sheetId="0" refreshError="1">
        <row r="4">
          <cell r="A4">
            <v>34851</v>
          </cell>
          <cell r="B4">
            <v>1.1998</v>
          </cell>
          <cell r="D4">
            <v>34851</v>
          </cell>
          <cell r="E4">
            <v>1.2104999999999999</v>
          </cell>
          <cell r="G4">
            <v>34851</v>
          </cell>
          <cell r="H4">
            <v>1.2225871755939359</v>
          </cell>
          <cell r="J4">
            <v>34851</v>
          </cell>
          <cell r="K4">
            <v>1.205365945928708</v>
          </cell>
        </row>
        <row r="5">
          <cell r="A5">
            <v>34943</v>
          </cell>
          <cell r="B5">
            <v>1.1990000000000001</v>
          </cell>
          <cell r="D5">
            <v>34943</v>
          </cell>
          <cell r="E5">
            <v>1.2097</v>
          </cell>
          <cell r="G5">
            <v>34943</v>
          </cell>
          <cell r="H5">
            <v>1.2219994562377128</v>
          </cell>
          <cell r="J5">
            <v>34943</v>
          </cell>
          <cell r="K5">
            <v>1.1992833259399029</v>
          </cell>
        </row>
        <row r="6">
          <cell r="A6">
            <v>35034</v>
          </cell>
          <cell r="B6">
            <v>1.1930000000000001</v>
          </cell>
          <cell r="D6">
            <v>35034</v>
          </cell>
          <cell r="E6">
            <v>1.2037</v>
          </cell>
          <cell r="G6">
            <v>35034</v>
          </cell>
          <cell r="H6">
            <v>1.2159637048312055</v>
          </cell>
          <cell r="J6">
            <v>35034</v>
          </cell>
          <cell r="K6">
            <v>1.1928771000680845</v>
          </cell>
        </row>
        <row r="7">
          <cell r="A7">
            <v>35125</v>
          </cell>
          <cell r="B7">
            <v>1.1866000000000001</v>
          </cell>
          <cell r="D7">
            <v>35125</v>
          </cell>
          <cell r="E7">
            <v>1.1971000000000001</v>
          </cell>
          <cell r="G7">
            <v>35125</v>
          </cell>
          <cell r="H7">
            <v>1.2091810312677105</v>
          </cell>
          <cell r="J7">
            <v>35125</v>
          </cell>
          <cell r="K7">
            <v>1.1943091465573714</v>
          </cell>
        </row>
        <row r="8">
          <cell r="A8">
            <v>35217</v>
          </cell>
          <cell r="B8">
            <v>1.1879999999999999</v>
          </cell>
          <cell r="D8">
            <v>35217</v>
          </cell>
          <cell r="E8">
            <v>1.1986000000000001</v>
          </cell>
          <cell r="G8">
            <v>35217</v>
          </cell>
          <cell r="H8">
            <v>1.2105995687643762</v>
          </cell>
          <cell r="J8">
            <v>35217</v>
          </cell>
          <cell r="K8">
            <v>1.1856841349677336</v>
          </cell>
        </row>
        <row r="9">
          <cell r="A9">
            <v>35309</v>
          </cell>
          <cell r="B9">
            <v>1.1795</v>
          </cell>
          <cell r="D9">
            <v>35309</v>
          </cell>
          <cell r="E9">
            <v>1.19</v>
          </cell>
          <cell r="G9">
            <v>35309</v>
          </cell>
          <cell r="H9">
            <v>1.201977881165206</v>
          </cell>
          <cell r="J9">
            <v>35309</v>
          </cell>
          <cell r="K9">
            <v>1.1745795594191371</v>
          </cell>
        </row>
        <row r="10">
          <cell r="A10">
            <v>35400</v>
          </cell>
          <cell r="B10">
            <v>1.1682999999999999</v>
          </cell>
          <cell r="D10">
            <v>35400</v>
          </cell>
          <cell r="E10">
            <v>1.1787000000000001</v>
          </cell>
          <cell r="G10">
            <v>35400</v>
          </cell>
          <cell r="H10">
            <v>1.19051916360539</v>
          </cell>
          <cell r="J10">
            <v>35400</v>
          </cell>
          <cell r="K10">
            <v>1.1690948626963809</v>
          </cell>
        </row>
        <row r="11">
          <cell r="A11">
            <v>35490</v>
          </cell>
          <cell r="B11">
            <v>1.1629</v>
          </cell>
          <cell r="D11">
            <v>35490</v>
          </cell>
          <cell r="E11">
            <v>1.1733</v>
          </cell>
          <cell r="G11">
            <v>35490</v>
          </cell>
          <cell r="H11">
            <v>1.1850060472680781</v>
          </cell>
          <cell r="J11">
            <v>35490</v>
          </cell>
          <cell r="K11">
            <v>1.1728637077983208</v>
          </cell>
        </row>
        <row r="12">
          <cell r="A12">
            <v>35582</v>
          </cell>
          <cell r="B12">
            <v>1.1667000000000001</v>
          </cell>
          <cell r="D12">
            <v>35582</v>
          </cell>
          <cell r="E12">
            <v>1.1772</v>
          </cell>
          <cell r="G12">
            <v>35582</v>
          </cell>
          <cell r="H12">
            <v>1.1890528952427268</v>
          </cell>
          <cell r="J12">
            <v>35582</v>
          </cell>
          <cell r="K12">
            <v>1.1664073333670095</v>
          </cell>
        </row>
        <row r="13">
          <cell r="A13">
            <v>35674</v>
          </cell>
          <cell r="B13">
            <v>1.1604000000000001</v>
          </cell>
          <cell r="D13">
            <v>35674</v>
          </cell>
          <cell r="E13">
            <v>1.1708000000000001</v>
          </cell>
          <cell r="G13">
            <v>35674</v>
          </cell>
          <cell r="H13">
            <v>1.1826535231704745</v>
          </cell>
          <cell r="J13">
            <v>35674</v>
          </cell>
          <cell r="K13">
            <v>1.1603728161802356</v>
          </cell>
        </row>
        <row r="14">
          <cell r="A14">
            <v>35765</v>
          </cell>
          <cell r="B14">
            <v>1.1544000000000001</v>
          </cell>
          <cell r="D14">
            <v>35765</v>
          </cell>
          <cell r="E14">
            <v>1.1647000000000001</v>
          </cell>
          <cell r="G14">
            <v>35765</v>
          </cell>
          <cell r="H14">
            <v>1.1765041998503289</v>
          </cell>
          <cell r="J14">
            <v>35765</v>
          </cell>
          <cell r="K14">
            <v>1.1593931209066681</v>
          </cell>
        </row>
        <row r="15">
          <cell r="A15">
            <v>35855</v>
          </cell>
          <cell r="B15">
            <v>1.1536</v>
          </cell>
          <cell r="D15">
            <v>35855</v>
          </cell>
          <cell r="E15">
            <v>1.1639999999999999</v>
          </cell>
          <cell r="G15">
            <v>35855</v>
          </cell>
          <cell r="H15">
            <v>1.1760452584762173</v>
          </cell>
          <cell r="J15">
            <v>35855</v>
          </cell>
          <cell r="K15">
            <v>1.1656800629498583</v>
          </cell>
        </row>
        <row r="16">
          <cell r="A16">
            <v>35947</v>
          </cell>
          <cell r="B16">
            <v>1.1600999999999999</v>
          </cell>
          <cell r="D16">
            <v>35947</v>
          </cell>
          <cell r="E16">
            <v>1.1705000000000001</v>
          </cell>
          <cell r="G16">
            <v>35947</v>
          </cell>
          <cell r="H16">
            <v>1.1828673416060307</v>
          </cell>
          <cell r="J16">
            <v>35947</v>
          </cell>
          <cell r="K16">
            <v>1.162304385799884</v>
          </cell>
        </row>
        <row r="17">
          <cell r="A17">
            <v>36039</v>
          </cell>
          <cell r="B17">
            <v>1.1567000000000001</v>
          </cell>
          <cell r="D17">
            <v>36039</v>
          </cell>
          <cell r="E17">
            <v>1.1671</v>
          </cell>
          <cell r="G17">
            <v>36039</v>
          </cell>
          <cell r="H17">
            <v>1.1793519751329464</v>
          </cell>
          <cell r="J17">
            <v>36039</v>
          </cell>
          <cell r="K17">
            <v>1.1590359418848579</v>
          </cell>
        </row>
        <row r="18">
          <cell r="A18">
            <v>36130</v>
          </cell>
          <cell r="B18">
            <v>1.1534</v>
          </cell>
          <cell r="D18">
            <v>36130</v>
          </cell>
          <cell r="E18">
            <v>1.1637999999999999</v>
          </cell>
          <cell r="G18">
            <v>36130</v>
          </cell>
          <cell r="H18">
            <v>1.1760966762127678</v>
          </cell>
          <cell r="J18">
            <v>36130</v>
          </cell>
          <cell r="K18">
            <v>1.1602029181395497</v>
          </cell>
        </row>
        <row r="19">
          <cell r="A19">
            <v>36220</v>
          </cell>
          <cell r="B19">
            <v>1.1546000000000001</v>
          </cell>
          <cell r="D19">
            <v>36220</v>
          </cell>
          <cell r="E19">
            <v>1.1651</v>
          </cell>
          <cell r="G19">
            <v>36220</v>
          </cell>
          <cell r="H19">
            <v>1.1773712178449061</v>
          </cell>
          <cell r="J19">
            <v>36220</v>
          </cell>
          <cell r="K19">
            <v>1.155715345112897</v>
          </cell>
        </row>
        <row r="20">
          <cell r="A20">
            <v>36312</v>
          </cell>
          <cell r="B20">
            <v>1.1501999999999999</v>
          </cell>
          <cell r="D20">
            <v>36312</v>
          </cell>
          <cell r="E20">
            <v>1.1606000000000001</v>
          </cell>
          <cell r="G20">
            <v>36312</v>
          </cell>
          <cell r="H20">
            <v>1.17282378740893</v>
          </cell>
          <cell r="J20">
            <v>36312</v>
          </cell>
          <cell r="K20">
            <v>1.1336219631853883</v>
          </cell>
        </row>
        <row r="21">
          <cell r="A21">
            <v>36404</v>
          </cell>
          <cell r="B21">
            <v>1.1275999999999999</v>
          </cell>
          <cell r="D21">
            <v>36404</v>
          </cell>
          <cell r="E21">
            <v>1.1376999999999999</v>
          </cell>
          <cell r="G21">
            <v>36404</v>
          </cell>
          <cell r="H21">
            <v>1.1492699439226679</v>
          </cell>
          <cell r="J21">
            <v>36404</v>
          </cell>
          <cell r="K21">
            <v>1.1061931278251493</v>
          </cell>
        </row>
        <row r="22">
          <cell r="A22">
            <v>36495</v>
          </cell>
          <cell r="B22">
            <v>1.1000000000000001</v>
          </cell>
          <cell r="D22">
            <v>36495</v>
          </cell>
          <cell r="E22">
            <v>1.1097999999999999</v>
          </cell>
          <cell r="G22">
            <v>36495</v>
          </cell>
          <cell r="H22">
            <v>1.1207260593936843</v>
          </cell>
          <cell r="J22">
            <v>36495</v>
          </cell>
          <cell r="K22">
            <v>1.0773685022498125</v>
          </cell>
        </row>
        <row r="23">
          <cell r="A23">
            <v>36586</v>
          </cell>
          <cell r="B23">
            <v>1.071</v>
          </cell>
          <cell r="D23">
            <v>36586</v>
          </cell>
          <cell r="E23">
            <v>1.0805</v>
          </cell>
          <cell r="G23">
            <v>36586</v>
          </cell>
          <cell r="H23">
            <v>1.0909796372861467</v>
          </cell>
          <cell r="J23">
            <v>36586</v>
          </cell>
          <cell r="K23">
            <v>1.0570470513506334</v>
          </cell>
        </row>
        <row r="24">
          <cell r="A24">
            <v>36678</v>
          </cell>
          <cell r="B24">
            <v>1.0507</v>
          </cell>
          <cell r="D24">
            <v>36678</v>
          </cell>
          <cell r="E24">
            <v>1.0599000000000001</v>
          </cell>
          <cell r="G24">
            <v>36678</v>
          </cell>
          <cell r="H24">
            <v>1.0699356984577371</v>
          </cell>
          <cell r="J24">
            <v>36678</v>
          </cell>
          <cell r="K24">
            <v>1.0317103179475031</v>
          </cell>
        </row>
        <row r="25">
          <cell r="A25">
            <v>36770</v>
          </cell>
          <cell r="B25">
            <v>1.0249999999999999</v>
          </cell>
          <cell r="D25">
            <v>36770</v>
          </cell>
          <cell r="E25">
            <v>1.0338000000000001</v>
          </cell>
          <cell r="G25">
            <v>36770</v>
          </cell>
          <cell r="H25">
            <v>1.0431959178060812</v>
          </cell>
          <cell r="J25">
            <v>36770</v>
          </cell>
          <cell r="K25">
            <v>0.98848654756933041</v>
          </cell>
        </row>
        <row r="26">
          <cell r="A26">
            <v>36861</v>
          </cell>
          <cell r="B26">
            <v>0.98150000000000004</v>
          </cell>
          <cell r="D26">
            <v>36861</v>
          </cell>
          <cell r="E26">
            <v>0.98980000000000001</v>
          </cell>
          <cell r="G26">
            <v>36861</v>
          </cell>
          <cell r="H26">
            <v>0.99859962122806567</v>
          </cell>
          <cell r="J26">
            <v>36861</v>
          </cell>
          <cell r="K26">
            <v>1.0010768257541176</v>
          </cell>
        </row>
        <row r="27">
          <cell r="A27">
            <v>36951</v>
          </cell>
          <cell r="B27">
            <v>0.99470000000000003</v>
          </cell>
          <cell r="D27">
            <v>36951</v>
          </cell>
          <cell r="E27">
            <v>1.0033000000000001</v>
          </cell>
          <cell r="G27">
            <v>36951</v>
          </cell>
          <cell r="H27">
            <v>1.0127822953006345</v>
          </cell>
          <cell r="J27">
            <v>36951</v>
          </cell>
          <cell r="K27">
            <v>1.0034272852946011</v>
          </cell>
        </row>
        <row r="28">
          <cell r="A28">
            <v>37043</v>
          </cell>
          <cell r="B28">
            <v>0.99709999999999999</v>
          </cell>
          <cell r="D28">
            <v>37043</v>
          </cell>
          <cell r="E28">
            <v>1.0056</v>
          </cell>
          <cell r="G28">
            <v>37043</v>
          </cell>
          <cell r="H28">
            <v>1.0150399631606066</v>
          </cell>
          <cell r="J28">
            <v>37043</v>
          </cell>
          <cell r="K28">
            <v>0.99989999627071946</v>
          </cell>
        </row>
        <row r="29">
          <cell r="A29">
            <v>37135</v>
          </cell>
          <cell r="B29">
            <v>0.99350000000000005</v>
          </cell>
          <cell r="D29">
            <v>37135</v>
          </cell>
          <cell r="E29">
            <v>1.0021</v>
          </cell>
          <cell r="G29">
            <v>37135</v>
          </cell>
          <cell r="H29">
            <v>1.0115730104783878</v>
          </cell>
          <cell r="J29">
            <v>37135</v>
          </cell>
          <cell r="K29">
            <v>1.008203458483552</v>
          </cell>
        </row>
        <row r="30">
          <cell r="A30">
            <v>37226</v>
          </cell>
          <cell r="B30">
            <v>1.0021</v>
          </cell>
          <cell r="D30">
            <v>37226</v>
          </cell>
          <cell r="E30">
            <v>1.0107999999999999</v>
          </cell>
          <cell r="G30">
            <v>37226</v>
          </cell>
          <cell r="H30">
            <v>1.0205629838681265</v>
          </cell>
          <cell r="J30">
            <v>37226</v>
          </cell>
          <cell r="K30">
            <v>1.0134958361013502</v>
          </cell>
        </row>
        <row r="31">
          <cell r="A31">
            <v>37316</v>
          </cell>
          <cell r="B31">
            <v>1.0075000000000001</v>
          </cell>
          <cell r="D31">
            <v>37316</v>
          </cell>
          <cell r="E31">
            <v>1.0163</v>
          </cell>
          <cell r="G31">
            <v>37316</v>
          </cell>
          <cell r="H31">
            <v>1.0261356994754907</v>
          </cell>
          <cell r="J31">
            <v>37316</v>
          </cell>
          <cell r="K31">
            <v>1.0085560491852288</v>
          </cell>
        </row>
        <row r="32">
          <cell r="A32">
            <v>37408</v>
          </cell>
          <cell r="B32">
            <v>1.0023</v>
          </cell>
          <cell r="D32">
            <v>37408</v>
          </cell>
          <cell r="E32">
            <v>1.0109999999999999</v>
          </cell>
          <cell r="G32">
            <v>37408</v>
          </cell>
          <cell r="H32">
            <v>1.0205032640809306</v>
          </cell>
          <cell r="J32">
            <v>37408</v>
          </cell>
          <cell r="K32">
            <v>1.0069640267264648</v>
          </cell>
        </row>
        <row r="33">
          <cell r="A33">
            <v>37500</v>
          </cell>
          <cell r="B33">
            <v>1</v>
          </cell>
          <cell r="D33">
            <v>37500</v>
          </cell>
          <cell r="E33">
            <v>1.0086999999999999</v>
          </cell>
          <cell r="G33">
            <v>37500</v>
          </cell>
          <cell r="H33">
            <v>1.0193159628349124</v>
          </cell>
          <cell r="J33">
            <v>37500</v>
          </cell>
          <cell r="K33">
            <v>1.0003422844293965</v>
          </cell>
        </row>
        <row r="34">
          <cell r="D34">
            <v>37591</v>
          </cell>
          <cell r="E34">
            <v>1</v>
          </cell>
          <cell r="G34">
            <v>37591</v>
          </cell>
          <cell r="H34">
            <v>1.0124791520420982</v>
          </cell>
          <cell r="J34">
            <v>37591</v>
          </cell>
          <cell r="K34">
            <v>0.98849510744791647</v>
          </cell>
        </row>
        <row r="35">
          <cell r="G35">
            <v>37681</v>
          </cell>
          <cell r="H35">
            <v>1</v>
          </cell>
          <cell r="J35">
            <v>37681</v>
          </cell>
          <cell r="K35">
            <v>1</v>
          </cell>
        </row>
        <row r="36">
          <cell r="J36">
            <v>37773</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Summary"/>
      <sheetName val="Non-Attributed Benefits"/>
      <sheetName val="Attributed Benefits"/>
      <sheetName val="Definitions"/>
      <sheetName val="Outline of FBT"/>
      <sheetName val="Rates"/>
      <sheetName val="T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F12">
            <v>38000</v>
          </cell>
          <cell r="H12">
            <v>0.19500000000000001</v>
          </cell>
          <cell r="J12">
            <v>7410</v>
          </cell>
        </row>
        <row r="14">
          <cell r="H14">
            <v>0.33</v>
          </cell>
          <cell r="J14">
            <v>14670</v>
          </cell>
        </row>
        <row r="16">
          <cell r="F16">
            <v>60000</v>
          </cell>
          <cell r="H16">
            <v>0.39</v>
          </cell>
        </row>
        <row r="19">
          <cell r="F19">
            <v>9500</v>
          </cell>
          <cell r="H19">
            <v>4.4999999999999998E-2</v>
          </cell>
        </row>
        <row r="21">
          <cell r="H21">
            <v>1.4999999999999999E-2</v>
          </cell>
        </row>
        <row r="27">
          <cell r="G27">
            <v>8075</v>
          </cell>
          <cell r="I27">
            <v>0.17649999999999999</v>
          </cell>
          <cell r="K27">
            <v>1425.23</v>
          </cell>
        </row>
        <row r="29">
          <cell r="G29">
            <v>30590</v>
          </cell>
          <cell r="I29">
            <v>0.26579999999999998</v>
          </cell>
          <cell r="K29">
            <v>7409.71</v>
          </cell>
        </row>
        <row r="31">
          <cell r="I31">
            <v>0.49249999999999999</v>
          </cell>
          <cell r="K31">
            <v>14669.16</v>
          </cell>
        </row>
        <row r="33">
          <cell r="G33">
            <v>45330</v>
          </cell>
          <cell r="I33">
            <v>0.63929999999999998</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Dec Q"/>
      <sheetName val="September"/>
      <sheetName val="Workings"/>
      <sheetName val="Header"/>
    </sheetNames>
    <sheetDataSet>
      <sheetData sheetId="0" refreshError="1"/>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ona FBT report"/>
      <sheetName val="Fiona trauma - 30.09.2001"/>
      <sheetName val="GL 23980"/>
      <sheetName val="Trauma"/>
      <sheetName val="Salary Dec Q"/>
    </sheetNames>
    <sheetDataSet>
      <sheetData sheetId="0" refreshError="1"/>
      <sheetData sheetId="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cements from 31.12"/>
      <sheetName val="Terminations from 31.12"/>
      <sheetName val="Vlookup data"/>
      <sheetName val="Fiona FBT report"/>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pload"/>
      <sheetName val="Monthly Coding"/>
      <sheetName val="CFS accr"/>
      <sheetName val="contracts 0506"/>
      <sheetName val="index process workings"/>
      <sheetName val="Index workings"/>
      <sheetName val="oil price forecast"/>
      <sheetName val="CPP"/>
      <sheetName val="Sheet1"/>
      <sheetName val="Inflation 5 year projection (2)"/>
      <sheetName val="Inflation 5 year projection"/>
      <sheetName val="inf summary"/>
      <sheetName val="Inflation 05-06"/>
      <sheetName val="CPP (2)"/>
      <sheetName val="Inflation"/>
      <sheetName val="Summary for forecast model"/>
      <sheetName val="Bus Improvement"/>
      <sheetName val="Vlooku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ummary"/>
      <sheetName val="Adjustments"/>
      <sheetName val="Sum"/>
      <sheetName val="SX dump"/>
      <sheetName val="Rec"/>
      <sheetName val="Trans Database"/>
      <sheetName val="23985 to Feb"/>
      <sheetName val="23988 to Feb"/>
      <sheetName val="CPP"/>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2"/>
    <pageSetUpPr fitToPage="1"/>
  </sheetPr>
  <dimension ref="A1:I53"/>
  <sheetViews>
    <sheetView topLeftCell="A30" workbookViewId="0">
      <selection activeCell="C63" sqref="C63"/>
    </sheetView>
  </sheetViews>
  <sheetFormatPr defaultRowHeight="12.75"/>
  <cols>
    <col min="1" max="1" width="38" customWidth="1"/>
    <col min="2" max="2" width="17" customWidth="1"/>
    <col min="3" max="3" width="13.85546875" customWidth="1"/>
    <col min="5" max="5" width="3.42578125" customWidth="1"/>
    <col min="6" max="7" width="14" bestFit="1" customWidth="1"/>
    <col min="8" max="8" width="13.85546875" customWidth="1"/>
    <col min="9" max="9" width="1.85546875" customWidth="1"/>
  </cols>
  <sheetData>
    <row r="1" spans="1:9" ht="15.75">
      <c r="A1" s="544" t="s">
        <v>543</v>
      </c>
      <c r="B1" s="35"/>
      <c r="C1" s="35"/>
      <c r="D1" s="35"/>
      <c r="E1" s="35"/>
      <c r="F1" s="35"/>
      <c r="G1" s="35"/>
      <c r="H1" s="35"/>
      <c r="I1" s="35"/>
    </row>
    <row r="2" spans="1:9" ht="15.75">
      <c r="A2" s="481" t="s">
        <v>1157</v>
      </c>
      <c r="B2" s="35"/>
      <c r="C2" s="35"/>
      <c r="D2" s="35"/>
      <c r="E2" s="35"/>
      <c r="F2" s="35"/>
      <c r="G2" s="35"/>
      <c r="H2" s="35"/>
      <c r="I2" s="35"/>
    </row>
    <row r="3" spans="1:9" ht="15.75">
      <c r="A3" s="481" t="s">
        <v>231</v>
      </c>
      <c r="B3" s="35"/>
      <c r="C3" s="35"/>
      <c r="D3" s="35"/>
      <c r="E3" s="35"/>
      <c r="F3" s="35"/>
      <c r="G3" s="35"/>
      <c r="H3" s="35"/>
      <c r="I3" s="35"/>
    </row>
    <row r="4" spans="1:9">
      <c r="A4" s="274" t="s">
        <v>697</v>
      </c>
      <c r="B4" s="274" t="s">
        <v>600</v>
      </c>
      <c r="C4" s="274" t="s">
        <v>601</v>
      </c>
      <c r="D4" s="196"/>
      <c r="E4" s="35"/>
      <c r="F4" s="276" t="s">
        <v>239</v>
      </c>
      <c r="G4" s="276" t="s">
        <v>789</v>
      </c>
      <c r="H4" s="276" t="s">
        <v>379</v>
      </c>
      <c r="I4" s="35"/>
    </row>
    <row r="5" spans="1:9" ht="19.5">
      <c r="A5" s="196" t="s">
        <v>163</v>
      </c>
      <c r="B5" s="196" t="s">
        <v>611</v>
      </c>
      <c r="C5" s="605" t="str">
        <f>IF(ROUND(F5,-1)&lt;&gt;ROUND(G5,-1),"Error","")</f>
        <v/>
      </c>
      <c r="D5" s="275" t="str">
        <f>IF(C5="","J","L")</f>
        <v>J</v>
      </c>
      <c r="E5" s="198"/>
      <c r="F5" s="199">
        <f>'Essbase Download'!C338</f>
        <v>54951132.340043515</v>
      </c>
      <c r="G5" s="199">
        <f>'Essbase Download'!C345</f>
        <v>54951132.340043515</v>
      </c>
      <c r="H5" s="200">
        <f>+F5-G5</f>
        <v>0</v>
      </c>
      <c r="I5" s="35"/>
    </row>
    <row r="6" spans="1:9" ht="19.5">
      <c r="A6" s="196" t="s">
        <v>164</v>
      </c>
      <c r="B6" s="196" t="s">
        <v>602</v>
      </c>
      <c r="C6" s="606" t="str">
        <f>IF(ROUND(F6,-2)&lt;&gt;ROUND(G6,-2),"Error","")</f>
        <v>Error</v>
      </c>
      <c r="D6" s="275" t="str">
        <f>IF(C6="","J","L")</f>
        <v>L</v>
      </c>
      <c r="E6" s="35"/>
      <c r="F6" s="199">
        <f>'Bus-Base Data'!G91</f>
        <v>639600</v>
      </c>
      <c r="G6" s="199">
        <f>'Essbase Download'!D56</f>
        <v>24779635.994363833</v>
      </c>
      <c r="H6" s="200">
        <f>+F6-G6</f>
        <v>-24140035.994363833</v>
      </c>
      <c r="I6" s="35"/>
    </row>
    <row r="7" spans="1:9" ht="19.5">
      <c r="A7" s="196" t="s">
        <v>165</v>
      </c>
      <c r="B7" s="196" t="s">
        <v>602</v>
      </c>
      <c r="C7" s="606" t="str">
        <f>IF(ROUND(F7,-1)&lt;&gt;ROUND(G7,-1),"Error","")</f>
        <v>Error</v>
      </c>
      <c r="D7" s="275" t="str">
        <f t="shared" ref="D7:D12" si="0">IF(C7="","J","L")</f>
        <v>L</v>
      </c>
      <c r="E7" s="35"/>
      <c r="F7" s="199">
        <f>'Bus-Base Data'!H91</f>
        <v>0</v>
      </c>
      <c r="G7" s="199">
        <f>'Essbase Download'!D112</f>
        <v>6694753.3569224086</v>
      </c>
      <c r="H7" s="200">
        <f>+F7-G7</f>
        <v>-6694753.3569224086</v>
      </c>
      <c r="I7" s="35"/>
    </row>
    <row r="8" spans="1:9" ht="19.5">
      <c r="A8" s="196" t="s">
        <v>166</v>
      </c>
      <c r="B8" s="196" t="s">
        <v>604</v>
      </c>
      <c r="C8" s="606" t="str">
        <f>IF(ROUND(F8,-1)&lt;&gt;ROUND(G8,-1),"Error","")</f>
        <v/>
      </c>
      <c r="D8" s="275" t="str">
        <f t="shared" si="0"/>
        <v>J</v>
      </c>
      <c r="E8" s="35"/>
      <c r="F8" s="199">
        <f>'Rail-Sum'!B10</f>
        <v>26381906.888851143</v>
      </c>
      <c r="G8" s="199">
        <f>+'Essbase Download'!C180++'Essbase Download'!C183</f>
        <v>26381906.888851143</v>
      </c>
      <c r="H8" s="200">
        <f>+F8-G8</f>
        <v>0</v>
      </c>
      <c r="I8" s="231"/>
    </row>
    <row r="9" spans="1:9" ht="19.5">
      <c r="A9" s="196" t="s">
        <v>605</v>
      </c>
      <c r="B9" s="196" t="s">
        <v>606</v>
      </c>
      <c r="C9" s="606" t="str">
        <f>IF(ROUND(F9,-1)&lt;&gt;ROUND(G9,-1),"Error","")</f>
        <v>Error</v>
      </c>
      <c r="D9" s="275" t="str">
        <f t="shared" si="0"/>
        <v>L</v>
      </c>
      <c r="E9" s="35"/>
      <c r="F9" s="199">
        <f>'Rates Allocation'!Q59</f>
        <v>32889637.687522743</v>
      </c>
      <c r="G9" s="199">
        <f>'Essbase Download'!C345</f>
        <v>54951132.340043515</v>
      </c>
      <c r="H9" s="201">
        <f>+F9-G9</f>
        <v>-22061494.652520772</v>
      </c>
      <c r="I9" s="35"/>
    </row>
    <row r="10" spans="1:9">
      <c r="A10" s="197"/>
      <c r="B10" s="197"/>
      <c r="C10" s="607"/>
      <c r="E10" s="61"/>
      <c r="F10" s="202"/>
      <c r="G10" s="202"/>
      <c r="H10" s="203"/>
      <c r="I10" s="35"/>
    </row>
    <row r="11" spans="1:9" ht="19.5">
      <c r="A11" s="196" t="s">
        <v>546</v>
      </c>
      <c r="B11" s="196" t="s">
        <v>606</v>
      </c>
      <c r="C11" s="606" t="str">
        <f>IF(ROUND(F11,-1)&lt;&gt;ROUND(G11,-1),"Error","")</f>
        <v/>
      </c>
      <c r="D11" s="275" t="str">
        <f t="shared" si="0"/>
        <v>J</v>
      </c>
      <c r="E11" s="35"/>
      <c r="F11" s="199">
        <f>SUM('Rates Allocation'!K59:P59)</f>
        <v>32889637.687522747</v>
      </c>
      <c r="G11" s="199">
        <f>'Rates Allocation'!Q59</f>
        <v>32889637.687522743</v>
      </c>
      <c r="H11" s="200">
        <f>+F11-G11</f>
        <v>0</v>
      </c>
      <c r="I11" s="35"/>
    </row>
    <row r="12" spans="1:9" ht="19.5">
      <c r="A12" s="196" t="s">
        <v>609</v>
      </c>
      <c r="B12" s="196" t="s">
        <v>608</v>
      </c>
      <c r="C12" s="606" t="str">
        <f>IF(ROUND(F12,-1)&lt;&gt;ROUND(G12,-1),"Error","")</f>
        <v/>
      </c>
      <c r="D12" s="275" t="str">
        <f t="shared" si="0"/>
        <v>J</v>
      </c>
      <c r="E12" s="35"/>
      <c r="F12" s="199">
        <f>Compare!D56</f>
        <v>32889637.687522743</v>
      </c>
      <c r="G12" s="199">
        <f>'Rates Allocation'!Q59</f>
        <v>32889637.687522743</v>
      </c>
      <c r="H12" s="200">
        <f>+F12-G12</f>
        <v>0</v>
      </c>
      <c r="I12" s="35"/>
    </row>
    <row r="13" spans="1:9">
      <c r="A13" s="35"/>
      <c r="B13" s="35"/>
      <c r="C13" s="35"/>
      <c r="D13" s="35"/>
      <c r="E13" s="35"/>
      <c r="F13" s="35"/>
      <c r="G13" s="35"/>
      <c r="H13" s="35"/>
      <c r="I13" s="35"/>
    </row>
    <row r="14" spans="1:9" ht="15">
      <c r="A14" s="195" t="s">
        <v>610</v>
      </c>
      <c r="B14" s="35"/>
      <c r="C14" s="35"/>
      <c r="D14" s="35"/>
      <c r="E14" s="35"/>
      <c r="F14" s="35"/>
      <c r="G14" s="35"/>
      <c r="H14" s="35"/>
      <c r="I14" s="35"/>
    </row>
    <row r="15" spans="1:9" ht="15">
      <c r="A15" s="195"/>
      <c r="B15" s="35"/>
      <c r="C15" s="35"/>
      <c r="D15" s="35"/>
      <c r="E15" s="35"/>
      <c r="F15" s="35"/>
      <c r="G15" s="35"/>
      <c r="H15" s="35"/>
      <c r="I15" s="35"/>
    </row>
    <row r="16" spans="1:9">
      <c r="A16" s="783" t="s">
        <v>612</v>
      </c>
      <c r="B16" s="783"/>
      <c r="C16" s="783"/>
      <c r="D16" s="783"/>
      <c r="E16" s="204"/>
      <c r="F16" s="35"/>
      <c r="G16" s="35"/>
      <c r="H16" s="35"/>
      <c r="I16" s="35"/>
    </row>
    <row r="17" spans="1:9" ht="28.15" customHeight="1">
      <c r="A17" s="785" t="s">
        <v>651</v>
      </c>
      <c r="B17" s="785"/>
      <c r="C17" s="785"/>
      <c r="D17" s="785"/>
      <c r="E17" s="204"/>
      <c r="F17" s="35"/>
      <c r="G17" s="35"/>
      <c r="H17" s="35"/>
      <c r="I17" s="35"/>
    </row>
    <row r="18" spans="1:9" ht="27.6" customHeight="1">
      <c r="A18" s="785" t="s">
        <v>650</v>
      </c>
      <c r="B18" s="785"/>
      <c r="C18" s="785"/>
      <c r="D18" s="785"/>
      <c r="E18" s="204"/>
      <c r="F18" s="35"/>
      <c r="G18" s="35"/>
      <c r="H18" s="35"/>
      <c r="I18" s="35"/>
    </row>
    <row r="19" spans="1:9" ht="27" customHeight="1">
      <c r="A19" s="785" t="s">
        <v>652</v>
      </c>
      <c r="B19" s="785"/>
      <c r="C19" s="785"/>
      <c r="D19" s="785"/>
      <c r="E19" s="204"/>
      <c r="F19" s="35"/>
      <c r="G19" s="35"/>
      <c r="H19" s="35"/>
      <c r="I19" s="35"/>
    </row>
    <row r="20" spans="1:9" ht="28.15" customHeight="1">
      <c r="A20" s="785" t="s">
        <v>43</v>
      </c>
      <c r="B20" s="785"/>
      <c r="C20" s="785"/>
      <c r="D20" s="785"/>
      <c r="E20" s="204"/>
      <c r="F20" s="35"/>
      <c r="G20" s="35"/>
      <c r="H20" s="35"/>
      <c r="I20" s="35"/>
    </row>
    <row r="21" spans="1:9" ht="28.15" customHeight="1">
      <c r="A21" s="785" t="s">
        <v>1100</v>
      </c>
      <c r="B21" s="785"/>
      <c r="C21" s="785"/>
      <c r="D21" s="785"/>
      <c r="E21" s="204"/>
      <c r="F21" s="35"/>
      <c r="G21" s="35"/>
      <c r="H21" s="35"/>
      <c r="I21" s="35"/>
    </row>
    <row r="22" spans="1:9" ht="27.6" customHeight="1">
      <c r="A22" s="785" t="s">
        <v>44</v>
      </c>
      <c r="B22" s="785"/>
      <c r="C22" s="785"/>
      <c r="D22" s="785"/>
      <c r="E22" s="204"/>
      <c r="F22" s="35"/>
      <c r="G22" s="35"/>
      <c r="H22" s="35"/>
      <c r="I22" s="35"/>
    </row>
    <row r="23" spans="1:9" ht="39" customHeight="1">
      <c r="A23" s="785" t="s">
        <v>45</v>
      </c>
      <c r="B23" s="785"/>
      <c r="C23" s="785"/>
      <c r="D23" s="785"/>
      <c r="E23" s="204"/>
      <c r="F23" s="35"/>
      <c r="G23" s="35"/>
      <c r="H23" s="35"/>
      <c r="I23" s="35"/>
    </row>
    <row r="24" spans="1:9">
      <c r="A24" s="783" t="s">
        <v>613</v>
      </c>
      <c r="B24" s="783"/>
      <c r="C24" s="783"/>
      <c r="D24" s="783"/>
      <c r="E24" s="35"/>
      <c r="F24" s="35"/>
      <c r="G24" s="35"/>
      <c r="H24" s="35"/>
      <c r="I24" s="35"/>
    </row>
    <row r="25" spans="1:9" ht="27.6" customHeight="1">
      <c r="A25" s="785" t="s">
        <v>614</v>
      </c>
      <c r="B25" s="785"/>
      <c r="C25" s="785"/>
      <c r="D25" s="785"/>
      <c r="E25" s="35"/>
      <c r="F25" s="35"/>
      <c r="G25" s="35"/>
      <c r="H25" s="35"/>
      <c r="I25" s="35"/>
    </row>
    <row r="26" spans="1:9" ht="27.6" customHeight="1">
      <c r="A26" s="785" t="s">
        <v>506</v>
      </c>
      <c r="B26" s="785"/>
      <c r="C26" s="785"/>
      <c r="D26" s="785"/>
      <c r="E26" s="35"/>
      <c r="F26" s="35"/>
      <c r="G26" s="35"/>
      <c r="H26" s="35"/>
      <c r="I26" s="35"/>
    </row>
    <row r="27" spans="1:9" ht="27.6" customHeight="1">
      <c r="A27" s="785" t="s">
        <v>683</v>
      </c>
      <c r="B27" s="785"/>
      <c r="C27" s="785"/>
      <c r="D27" s="785"/>
      <c r="E27" s="35"/>
      <c r="F27" s="35"/>
      <c r="G27" s="35"/>
      <c r="H27" s="35"/>
      <c r="I27" s="35"/>
    </row>
    <row r="28" spans="1:9" ht="28.9" customHeight="1">
      <c r="A28" s="785" t="s">
        <v>684</v>
      </c>
      <c r="B28" s="785"/>
      <c r="C28" s="785"/>
      <c r="D28" s="785"/>
      <c r="E28" s="35"/>
      <c r="F28" s="35"/>
      <c r="G28" s="35"/>
      <c r="H28" s="35"/>
      <c r="I28" s="35"/>
    </row>
    <row r="29" spans="1:9" ht="28.5" customHeight="1">
      <c r="A29" s="785" t="s">
        <v>685</v>
      </c>
      <c r="B29" s="785"/>
      <c r="C29" s="785"/>
      <c r="D29" s="785"/>
      <c r="E29" s="35"/>
      <c r="F29" s="35"/>
      <c r="G29" s="35"/>
      <c r="H29" s="35"/>
      <c r="I29" s="35"/>
    </row>
    <row r="30" spans="1:9">
      <c r="A30" s="784"/>
      <c r="B30" s="784"/>
      <c r="C30" s="784"/>
      <c r="D30" s="784"/>
      <c r="E30" s="35"/>
      <c r="F30" s="35"/>
      <c r="G30" s="35"/>
      <c r="H30" s="35"/>
      <c r="I30" s="35"/>
    </row>
    <row r="31" spans="1:9" ht="15">
      <c r="A31" s="195" t="s">
        <v>616</v>
      </c>
      <c r="B31" s="35"/>
      <c r="C31" s="35"/>
      <c r="D31" s="35"/>
      <c r="E31" s="35"/>
      <c r="F31" s="35"/>
      <c r="G31" s="35"/>
      <c r="H31" s="35"/>
      <c r="I31" s="35"/>
    </row>
    <row r="32" spans="1:9">
      <c r="A32" s="35"/>
      <c r="B32" s="35"/>
      <c r="C32" s="35"/>
      <c r="D32" s="35"/>
      <c r="E32" s="35"/>
      <c r="F32" s="35"/>
      <c r="G32" s="35"/>
      <c r="H32" s="35"/>
      <c r="I32" s="35"/>
    </row>
    <row r="33" spans="1:9" ht="13.5" thickBot="1">
      <c r="A33" s="462" t="s">
        <v>233</v>
      </c>
      <c r="B33" s="35"/>
      <c r="C33" s="35"/>
      <c r="D33" s="35"/>
      <c r="E33" s="35"/>
      <c r="F33" s="35"/>
      <c r="G33" s="35"/>
      <c r="H33" s="35"/>
      <c r="I33" s="35"/>
    </row>
    <row r="34" spans="1:9" ht="14.25" thickTop="1" thickBot="1">
      <c r="A34" s="462" t="s">
        <v>607</v>
      </c>
      <c r="B34" s="35"/>
      <c r="C34" s="35"/>
      <c r="D34" s="35"/>
      <c r="E34" s="35"/>
      <c r="F34" s="35"/>
      <c r="G34" s="35"/>
      <c r="H34" s="35"/>
      <c r="I34" s="35"/>
    </row>
    <row r="35" spans="1:9" ht="14.25" thickTop="1" thickBot="1">
      <c r="A35" s="462" t="s">
        <v>792</v>
      </c>
      <c r="B35" s="35"/>
      <c r="C35" s="35"/>
      <c r="D35" s="35"/>
      <c r="E35" s="35"/>
      <c r="F35" s="35"/>
      <c r="G35" s="35"/>
      <c r="H35" s="35"/>
      <c r="I35" s="35"/>
    </row>
    <row r="36" spans="1:9" ht="14.25" thickTop="1" thickBot="1">
      <c r="A36" s="462" t="s">
        <v>234</v>
      </c>
      <c r="B36" s="35"/>
      <c r="C36" s="35"/>
      <c r="D36" s="35"/>
      <c r="E36" s="35"/>
      <c r="F36" s="35"/>
      <c r="G36" s="35"/>
      <c r="H36" s="35"/>
      <c r="I36" s="35"/>
    </row>
    <row r="37" spans="1:9" s="1" customFormat="1" ht="13.5" thickTop="1">
      <c r="A37" s="57"/>
      <c r="B37" s="35"/>
      <c r="C37" s="35"/>
      <c r="D37" s="35"/>
      <c r="E37" s="35"/>
      <c r="F37" s="35"/>
      <c r="G37" s="35"/>
      <c r="H37" s="35"/>
      <c r="I37" s="35"/>
    </row>
    <row r="38" spans="1:9" s="1" customFormat="1" ht="13.5" thickBot="1">
      <c r="A38" s="58" t="s">
        <v>235</v>
      </c>
      <c r="B38" s="35"/>
      <c r="C38" s="35"/>
      <c r="D38" s="35"/>
      <c r="E38" s="35"/>
      <c r="F38" s="35"/>
      <c r="G38" s="35"/>
      <c r="H38" s="35"/>
      <c r="I38" s="35"/>
    </row>
    <row r="39" spans="1:9" s="1" customFormat="1" ht="14.25" thickTop="1" thickBot="1">
      <c r="A39" s="58" t="s">
        <v>236</v>
      </c>
      <c r="B39" s="35"/>
      <c r="C39" s="35"/>
      <c r="D39" s="35"/>
      <c r="E39" s="35"/>
      <c r="F39" s="35"/>
      <c r="G39" s="35"/>
      <c r="H39" s="35"/>
      <c r="I39" s="35"/>
    </row>
    <row r="40" spans="1:9" ht="13.5" thickTop="1">
      <c r="B40" s="35"/>
      <c r="C40" s="35"/>
      <c r="D40" s="35"/>
      <c r="E40" s="35"/>
      <c r="F40" s="35"/>
      <c r="G40" s="35"/>
      <c r="H40" s="35"/>
      <c r="I40" s="35"/>
    </row>
    <row r="41" spans="1:9" ht="13.5" thickBot="1">
      <c r="A41" s="34" t="s">
        <v>46</v>
      </c>
      <c r="B41" s="35"/>
      <c r="C41" s="35"/>
      <c r="D41" s="35"/>
      <c r="E41" s="35"/>
      <c r="F41" s="35"/>
      <c r="G41" s="35"/>
      <c r="H41" s="35"/>
      <c r="I41" s="35"/>
    </row>
    <row r="42" spans="1:9" ht="14.25" thickTop="1" thickBot="1">
      <c r="A42" s="34" t="s">
        <v>611</v>
      </c>
      <c r="B42" s="35"/>
      <c r="C42" s="35"/>
      <c r="D42" s="35"/>
      <c r="E42" s="35"/>
      <c r="F42" s="35"/>
      <c r="G42" s="35"/>
      <c r="H42" s="35"/>
      <c r="I42" s="35"/>
    </row>
    <row r="43" spans="1:9" ht="14.25" thickTop="1" thickBot="1">
      <c r="A43" s="34" t="s">
        <v>47</v>
      </c>
      <c r="B43" s="35"/>
      <c r="C43" s="35"/>
      <c r="D43" s="35"/>
      <c r="E43" s="35"/>
      <c r="F43" s="35"/>
      <c r="G43" s="35"/>
      <c r="H43" s="35"/>
      <c r="I43" s="35"/>
    </row>
    <row r="44" spans="1:9" ht="14.25" thickTop="1" thickBot="1">
      <c r="A44" s="34" t="s">
        <v>48</v>
      </c>
      <c r="B44" s="35"/>
      <c r="C44" s="35"/>
      <c r="D44" s="35"/>
      <c r="E44" s="35"/>
      <c r="F44" s="35"/>
      <c r="G44" s="35"/>
      <c r="H44" s="35"/>
      <c r="I44" s="35"/>
    </row>
    <row r="45" spans="1:9" ht="14.25" thickTop="1" thickBot="1">
      <c r="A45" s="34" t="s">
        <v>49</v>
      </c>
      <c r="B45" s="35"/>
      <c r="C45" s="35"/>
      <c r="D45" s="35"/>
      <c r="E45" s="35"/>
      <c r="F45" s="35"/>
      <c r="G45" s="35"/>
      <c r="H45" s="35"/>
      <c r="I45" s="35"/>
    </row>
    <row r="46" spans="1:9" ht="13.5" thickTop="1">
      <c r="A46" s="35"/>
      <c r="B46" s="35"/>
      <c r="C46" s="35"/>
      <c r="D46" s="35"/>
      <c r="E46" s="35"/>
      <c r="F46" s="35"/>
      <c r="G46" s="35"/>
      <c r="H46" s="35"/>
      <c r="I46" s="35"/>
    </row>
    <row r="47" spans="1:9" ht="24.95" customHeight="1">
      <c r="A47" s="785" t="s">
        <v>599</v>
      </c>
      <c r="B47" s="785"/>
      <c r="C47" s="785"/>
      <c r="D47" s="785"/>
      <c r="E47" s="35"/>
      <c r="F47" s="35"/>
      <c r="G47" s="35"/>
      <c r="H47" s="35"/>
      <c r="I47" s="35"/>
    </row>
    <row r="48" spans="1:9">
      <c r="A48" s="785" t="s">
        <v>127</v>
      </c>
      <c r="B48" s="785"/>
      <c r="C48" s="785"/>
      <c r="D48" s="785"/>
      <c r="E48" s="35"/>
      <c r="F48" s="35"/>
      <c r="G48" s="35"/>
      <c r="H48" s="35"/>
      <c r="I48" s="35"/>
    </row>
    <row r="49" spans="1:9" ht="30" customHeight="1">
      <c r="A49" s="783" t="s">
        <v>50</v>
      </c>
      <c r="B49" s="783"/>
      <c r="C49" s="783"/>
      <c r="D49" s="783"/>
      <c r="E49" s="35"/>
      <c r="F49" s="35"/>
      <c r="G49" s="35"/>
      <c r="H49" s="35"/>
      <c r="I49" s="35"/>
    </row>
    <row r="50" spans="1:9">
      <c r="A50" s="205"/>
      <c r="B50" s="35"/>
      <c r="C50" s="35"/>
      <c r="D50" s="35"/>
      <c r="E50" s="35"/>
      <c r="F50" s="35"/>
      <c r="G50" s="35"/>
      <c r="H50" s="35"/>
      <c r="I50" s="35"/>
    </row>
    <row r="51" spans="1:9" ht="13.5" thickBot="1">
      <c r="A51" s="33" t="s">
        <v>603</v>
      </c>
      <c r="B51" s="35"/>
      <c r="C51" s="35"/>
      <c r="D51" s="35"/>
      <c r="E51" s="35"/>
      <c r="F51" s="35"/>
      <c r="G51" s="35"/>
      <c r="H51" s="35"/>
      <c r="I51" s="35"/>
    </row>
    <row r="52" spans="1:9" ht="14.25" thickTop="1" thickBot="1">
      <c r="A52" s="33" t="s">
        <v>682</v>
      </c>
      <c r="B52" s="35"/>
      <c r="C52" s="35"/>
      <c r="D52" s="35"/>
      <c r="E52" s="35"/>
      <c r="F52" s="35"/>
      <c r="G52" s="35"/>
      <c r="H52" s="35"/>
      <c r="I52" s="35"/>
    </row>
    <row r="53" spans="1:9" ht="13.5" thickTop="1"/>
  </sheetData>
  <mergeCells count="18">
    <mergeCell ref="A29:D29"/>
    <mergeCell ref="A25:D25"/>
    <mergeCell ref="A49:D49"/>
    <mergeCell ref="A30:D30"/>
    <mergeCell ref="A16:D16"/>
    <mergeCell ref="A19:D19"/>
    <mergeCell ref="A20:D20"/>
    <mergeCell ref="A22:D22"/>
    <mergeCell ref="A18:D18"/>
    <mergeCell ref="A17:D17"/>
    <mergeCell ref="A21:D21"/>
    <mergeCell ref="A23:D23"/>
    <mergeCell ref="A26:D26"/>
    <mergeCell ref="A28:D28"/>
    <mergeCell ref="A47:D47"/>
    <mergeCell ref="A48:D48"/>
    <mergeCell ref="A24:D24"/>
    <mergeCell ref="A27:D27"/>
  </mergeCells>
  <phoneticPr fontId="4" type="noConversion"/>
  <conditionalFormatting sqref="D11:D12 D5:D9">
    <cfRule type="cellIs" dxfId="17" priority="1" stopIfTrue="1" operator="notEqual">
      <formula>"J"</formula>
    </cfRule>
  </conditionalFormatting>
  <pageMargins left="0.35" right="0.28000000000000003" top="0.39" bottom="0.31" header="0.22" footer="0.19"/>
  <pageSetup paperSize="9" scale="78" orientation="portrait" r:id="rId1"/>
  <headerFooter alignWithMargins="0">
    <oddFooter>&amp;L&amp;BGreater Wellington Confidential&amp;B&amp;C&amp;D&amp;RPage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6" tint="0.59999389629810485"/>
    <pageSetUpPr fitToPage="1"/>
  </sheetPr>
  <dimension ref="A1:AJ112"/>
  <sheetViews>
    <sheetView zoomScaleNormal="100" workbookViewId="0">
      <pane xSplit="6" ySplit="4" topLeftCell="G5" activePane="bottomRight" state="frozen"/>
      <selection activeCell="I26" sqref="I26"/>
      <selection pane="topRight" activeCell="I26" sqref="I26"/>
      <selection pane="bottomLeft" activeCell="I26" sqref="I26"/>
      <selection pane="bottomRight" activeCell="G7" sqref="G7"/>
    </sheetView>
  </sheetViews>
  <sheetFormatPr defaultColWidth="9.140625" defaultRowHeight="12.75" outlineLevelRow="1"/>
  <cols>
    <col min="1" max="1" width="9" style="14" customWidth="1"/>
    <col min="2" max="2" width="19.85546875" style="14" customWidth="1"/>
    <col min="3" max="3" width="10.28515625" style="14" bestFit="1" customWidth="1"/>
    <col min="4" max="4" width="11.140625" style="14" bestFit="1" customWidth="1"/>
    <col min="5" max="5" width="11.7109375" style="14" bestFit="1" customWidth="1"/>
    <col min="6" max="6" width="34.28515625" style="14" customWidth="1"/>
    <col min="7" max="7" width="11.42578125" style="14" customWidth="1"/>
    <col min="8" max="8" width="10.5703125" style="14" customWidth="1"/>
    <col min="9" max="9" width="10.42578125" style="14" customWidth="1"/>
    <col min="10" max="10" width="5.85546875" style="14" customWidth="1"/>
    <col min="11" max="12" width="10.5703125" style="14" customWidth="1"/>
    <col min="13" max="13" width="9.85546875" style="14" customWidth="1"/>
    <col min="14" max="21" width="5.85546875" style="12" customWidth="1"/>
    <col min="22" max="22" width="5.42578125" style="293" customWidth="1"/>
    <col min="23" max="23" width="5.28515625" style="14" customWidth="1"/>
    <col min="24" max="31" width="10.5703125" style="12" customWidth="1"/>
    <col min="32" max="32" width="9.7109375" style="12" customWidth="1"/>
    <col min="33" max="33" width="10.42578125" style="12" bestFit="1" customWidth="1"/>
    <col min="34" max="34" width="20.7109375" style="12" customWidth="1"/>
    <col min="35" max="35" width="14" style="12" bestFit="1" customWidth="1"/>
    <col min="36" max="36" width="21.7109375" style="12" customWidth="1"/>
    <col min="37" max="37" width="10.140625" style="12" bestFit="1" customWidth="1"/>
    <col min="38" max="38" width="9.140625" style="12" customWidth="1"/>
    <col min="39" max="39" width="10.140625" style="12" bestFit="1" customWidth="1"/>
    <col min="40" max="41" width="12.7109375" style="12" bestFit="1" customWidth="1"/>
    <col min="42" max="16384" width="9.140625" style="12"/>
  </cols>
  <sheetData>
    <row r="1" spans="1:36" ht="15.75">
      <c r="A1" s="9" t="str">
        <f>'Rate Summary'!A1</f>
        <v>Greater Wellington Regional Council</v>
      </c>
    </row>
    <row r="2" spans="1:36" ht="15.75">
      <c r="A2" s="9" t="str">
        <f>'Rate Summary'!A2</f>
        <v>Final Public Transport Rate 2015/16</v>
      </c>
    </row>
    <row r="3" spans="1:36" ht="15.75">
      <c r="A3" s="9" t="s">
        <v>229</v>
      </c>
      <c r="G3" s="15"/>
    </row>
    <row r="4" spans="1:36" s="252" customFormat="1" ht="33.75">
      <c r="A4" s="266" t="s">
        <v>238</v>
      </c>
      <c r="B4" s="266" t="s">
        <v>693</v>
      </c>
      <c r="C4" s="266" t="s">
        <v>694</v>
      </c>
      <c r="D4" s="266" t="s">
        <v>18</v>
      </c>
      <c r="E4" s="266" t="s">
        <v>740</v>
      </c>
      <c r="F4" s="266" t="s">
        <v>695</v>
      </c>
      <c r="G4" s="332" t="s">
        <v>564</v>
      </c>
      <c r="H4" s="267" t="s">
        <v>565</v>
      </c>
      <c r="I4" s="318" t="s">
        <v>777</v>
      </c>
      <c r="J4" s="311" t="s">
        <v>562</v>
      </c>
      <c r="K4" s="267" t="s">
        <v>563</v>
      </c>
      <c r="L4" s="267" t="s">
        <v>568</v>
      </c>
      <c r="M4" s="311" t="s">
        <v>739</v>
      </c>
      <c r="N4" s="301" t="s">
        <v>270</v>
      </c>
      <c r="O4" s="294" t="s">
        <v>269</v>
      </c>
      <c r="P4" s="294" t="s">
        <v>268</v>
      </c>
      <c r="Q4" s="294" t="s">
        <v>271</v>
      </c>
      <c r="R4" s="294" t="s">
        <v>272</v>
      </c>
      <c r="S4" s="294" t="s">
        <v>273</v>
      </c>
      <c r="T4" s="294" t="s">
        <v>377</v>
      </c>
      <c r="U4" s="294" t="s">
        <v>274</v>
      </c>
      <c r="V4" s="296" t="s">
        <v>697</v>
      </c>
      <c r="W4" s="311" t="s">
        <v>696</v>
      </c>
      <c r="X4" s="268" t="s">
        <v>270</v>
      </c>
      <c r="Y4" s="268" t="s">
        <v>269</v>
      </c>
      <c r="Z4" s="268" t="s">
        <v>268</v>
      </c>
      <c r="AA4" s="268" t="s">
        <v>271</v>
      </c>
      <c r="AB4" s="268" t="s">
        <v>272</v>
      </c>
      <c r="AC4" s="268" t="s">
        <v>273</v>
      </c>
      <c r="AD4" s="268" t="s">
        <v>377</v>
      </c>
      <c r="AE4" s="268" t="s">
        <v>274</v>
      </c>
      <c r="AF4" s="268" t="s">
        <v>378</v>
      </c>
      <c r="AG4" s="311" t="s">
        <v>739</v>
      </c>
    </row>
    <row r="5" spans="1:36">
      <c r="A5" s="15" t="s">
        <v>148</v>
      </c>
      <c r="B5" s="235"/>
      <c r="C5" s="235"/>
      <c r="D5" s="235"/>
      <c r="E5" s="235"/>
      <c r="F5" s="235"/>
      <c r="G5" s="234"/>
      <c r="H5" s="232"/>
      <c r="I5" s="326"/>
      <c r="J5" s="324"/>
      <c r="K5" s="232"/>
      <c r="L5" s="232"/>
      <c r="M5" s="289"/>
      <c r="N5" s="302">
        <v>0</v>
      </c>
      <c r="O5" s="303">
        <v>0</v>
      </c>
      <c r="P5" s="303">
        <v>0</v>
      </c>
      <c r="Q5" s="303">
        <v>0</v>
      </c>
      <c r="R5" s="303">
        <v>0</v>
      </c>
      <c r="S5" s="303">
        <v>0</v>
      </c>
      <c r="T5" s="303">
        <v>0</v>
      </c>
      <c r="U5" s="303">
        <v>0</v>
      </c>
      <c r="V5" s="297"/>
      <c r="W5" s="312"/>
      <c r="X5" s="776"/>
      <c r="Y5" s="776"/>
      <c r="Z5" s="776"/>
      <c r="AA5" s="776"/>
      <c r="AB5" s="776"/>
      <c r="AC5" s="776"/>
      <c r="AD5" s="776"/>
      <c r="AE5" s="776"/>
      <c r="AF5" s="776"/>
      <c r="AG5" s="777"/>
      <c r="AI5" s="3"/>
      <c r="AJ5" s="3"/>
    </row>
    <row r="6" spans="1:36" s="14" customFormat="1">
      <c r="A6" s="14" t="s">
        <v>89</v>
      </c>
      <c r="B6" s="235" t="s">
        <v>88</v>
      </c>
      <c r="C6" s="235">
        <v>0</v>
      </c>
      <c r="D6" s="235" t="s">
        <v>1066</v>
      </c>
      <c r="E6" s="235" t="s">
        <v>179</v>
      </c>
      <c r="F6" s="235" t="s">
        <v>136</v>
      </c>
      <c r="G6" s="771">
        <f>VLOOKUP($A6,'Contracts '!$A$2:$J$87,10,FALSE)</f>
        <v>0</v>
      </c>
      <c r="H6" s="773">
        <v>0</v>
      </c>
      <c r="I6" s="774">
        <f t="shared" ref="I6:I38" si="0">SUM(G6:H6)</f>
        <v>0</v>
      </c>
      <c r="J6" s="325">
        <v>0.52</v>
      </c>
      <c r="K6" s="773">
        <f t="shared" ref="K6:K38" si="1">I6*(1-J6)</f>
        <v>0</v>
      </c>
      <c r="L6" s="773">
        <f t="shared" ref="L6:L37" si="2">$K$106*K6/$K$100</f>
        <v>0</v>
      </c>
      <c r="M6" s="775">
        <f t="shared" ref="M6:M38" si="3">SUM(K6:L6)</f>
        <v>0</v>
      </c>
      <c r="N6" s="302">
        <v>0</v>
      </c>
      <c r="O6" s="303">
        <v>1</v>
      </c>
      <c r="P6" s="303">
        <v>0</v>
      </c>
      <c r="Q6" s="303">
        <v>0</v>
      </c>
      <c r="R6" s="303">
        <v>0</v>
      </c>
      <c r="S6" s="303">
        <v>0</v>
      </c>
      <c r="T6" s="303">
        <v>0</v>
      </c>
      <c r="U6" s="303">
        <v>0</v>
      </c>
      <c r="V6" s="298" t="str">
        <f t="shared" ref="V6:V38" si="4">IF(SUM(N6:U6)&lt;&gt;1,"error","ok")</f>
        <v>ok</v>
      </c>
      <c r="W6" s="312" t="s">
        <v>706</v>
      </c>
      <c r="X6" s="778">
        <f>IF($W6="No",$M6*N6,$M6*N6*(1-'Policy Allocations'!G$7))</f>
        <v>0</v>
      </c>
      <c r="Y6" s="778">
        <f>IF($W6="No",$M6*O6,$M6*O6*(1-'Policy Allocations'!G$8))</f>
        <v>0</v>
      </c>
      <c r="Z6" s="778">
        <f>IF($W6="No",$M6*P6,$M6*P6*(1-'Policy Allocations'!G$9))</f>
        <v>0</v>
      </c>
      <c r="AA6" s="778">
        <f>IF($W6="No",$M6*Q6,$M6*Q6*(1-'Policy Allocations'!G$10))</f>
        <v>0</v>
      </c>
      <c r="AB6" s="778">
        <f>IF($W6="No",$M6*R6,$M6*R6*(1-'Policy Allocations'!G$11))</f>
        <v>0</v>
      </c>
      <c r="AC6" s="778">
        <f>IF($W6="No",$M6*S6,$M6*S6*(1-'Policy Allocations'!G$12))</f>
        <v>0</v>
      </c>
      <c r="AD6" s="778">
        <f>IF($W6="No",$M6*T6,$M6*T6*(1-'Policy Allocations'!G$13))</f>
        <v>0</v>
      </c>
      <c r="AE6" s="778">
        <f>IF($W6="No",$M6*U6,$M6*U6*(1-'Policy Allocations'!G$14))</f>
        <v>0</v>
      </c>
      <c r="AF6" s="778">
        <f t="shared" ref="AF6:AF38" si="5">M6-SUM(X6:AE6)</f>
        <v>0</v>
      </c>
      <c r="AG6" s="777">
        <f t="shared" ref="AG6:AG38" si="6">SUM(X6:AF6)</f>
        <v>0</v>
      </c>
      <c r="AH6" s="232"/>
      <c r="AI6" s="5"/>
      <c r="AJ6" s="5"/>
    </row>
    <row r="7" spans="1:36" s="14" customFormat="1">
      <c r="A7" s="14" t="s">
        <v>977</v>
      </c>
      <c r="B7" s="235" t="s">
        <v>88</v>
      </c>
      <c r="C7" s="235" t="s">
        <v>474</v>
      </c>
      <c r="D7" s="235" t="s">
        <v>1066</v>
      </c>
      <c r="E7" s="235" t="s">
        <v>179</v>
      </c>
      <c r="F7" s="235" t="s">
        <v>1067</v>
      </c>
      <c r="G7" s="771">
        <f>VLOOKUP($A7,'Contracts '!$A$2:$J$87,10,FALSE)</f>
        <v>0</v>
      </c>
      <c r="H7" s="773">
        <f>VLOOKUP(A7,'Contracts inf'!$A$3:$I$81,9,FALSE)</f>
        <v>0</v>
      </c>
      <c r="I7" s="774">
        <f t="shared" si="0"/>
        <v>0</v>
      </c>
      <c r="J7" s="325">
        <v>0.52</v>
      </c>
      <c r="K7" s="773">
        <f t="shared" si="1"/>
        <v>0</v>
      </c>
      <c r="L7" s="773">
        <f t="shared" si="2"/>
        <v>0</v>
      </c>
      <c r="M7" s="775">
        <f t="shared" si="3"/>
        <v>0</v>
      </c>
      <c r="N7" s="302">
        <v>0.2</v>
      </c>
      <c r="O7" s="303">
        <v>0.8</v>
      </c>
      <c r="P7" s="303">
        <v>0</v>
      </c>
      <c r="Q7" s="303">
        <v>0</v>
      </c>
      <c r="R7" s="303">
        <v>0</v>
      </c>
      <c r="S7" s="303">
        <v>0</v>
      </c>
      <c r="T7" s="303">
        <v>0</v>
      </c>
      <c r="U7" s="303">
        <v>0</v>
      </c>
      <c r="V7" s="298" t="str">
        <f t="shared" si="4"/>
        <v>ok</v>
      </c>
      <c r="W7" s="312" t="s">
        <v>713</v>
      </c>
      <c r="X7" s="778">
        <f>IF($W7="No",$M7*N7,$M7*N7*(1-'Policy Allocations'!G$7))</f>
        <v>0</v>
      </c>
      <c r="Y7" s="778">
        <f>IF($W7="No",$M7*O7,$M7*O7*(1-'Policy Allocations'!G$8))</f>
        <v>0</v>
      </c>
      <c r="Z7" s="778">
        <f>IF($W7="No",$M7*P7,$M7*P7*(1-'Policy Allocations'!G$9))</f>
        <v>0</v>
      </c>
      <c r="AA7" s="778">
        <f>IF($W7="No",$M7*Q7,$M7*Q7*(1-'Policy Allocations'!G$10))</f>
        <v>0</v>
      </c>
      <c r="AB7" s="778">
        <f>IF($W7="No",$M7*R7,$M7*R7*(1-'Policy Allocations'!G$11))</f>
        <v>0</v>
      </c>
      <c r="AC7" s="778">
        <f>IF($W7="No",$M7*S7,$M7*S7*(1-'Policy Allocations'!G$12))</f>
        <v>0</v>
      </c>
      <c r="AD7" s="778">
        <f>IF($W7="No",$M7*T7,$M7*T7*(1-'Policy Allocations'!G$13))</f>
        <v>0</v>
      </c>
      <c r="AE7" s="778">
        <f>IF($W7="No",$M7*U7,$M7*U7*(1-'Policy Allocations'!G$14))</f>
        <v>0</v>
      </c>
      <c r="AF7" s="778">
        <f t="shared" si="5"/>
        <v>0</v>
      </c>
      <c r="AG7" s="777">
        <f t="shared" si="6"/>
        <v>0</v>
      </c>
      <c r="AH7" s="232"/>
      <c r="AI7" s="5"/>
      <c r="AJ7" s="5"/>
    </row>
    <row r="8" spans="1:36" s="14" customFormat="1">
      <c r="A8" s="14" t="s">
        <v>981</v>
      </c>
      <c r="B8" s="235" t="s">
        <v>88</v>
      </c>
      <c r="C8" s="235" t="s">
        <v>708</v>
      </c>
      <c r="D8" s="235" t="s">
        <v>1066</v>
      </c>
      <c r="E8" s="235" t="s">
        <v>179</v>
      </c>
      <c r="F8" s="235" t="s">
        <v>1068</v>
      </c>
      <c r="G8" s="771">
        <f>VLOOKUP($A8,'Contracts '!$A$2:$J$87,10,FALSE)</f>
        <v>0</v>
      </c>
      <c r="H8" s="773">
        <f>VLOOKUP(A8,'Contracts inf'!$A$3:$I$81,9,FALSE)</f>
        <v>0</v>
      </c>
      <c r="I8" s="774">
        <f t="shared" si="0"/>
        <v>0</v>
      </c>
      <c r="J8" s="325">
        <v>0.52</v>
      </c>
      <c r="K8" s="773">
        <f t="shared" si="1"/>
        <v>0</v>
      </c>
      <c r="L8" s="773">
        <f t="shared" si="2"/>
        <v>0</v>
      </c>
      <c r="M8" s="775">
        <f t="shared" si="3"/>
        <v>0</v>
      </c>
      <c r="N8" s="302">
        <v>0</v>
      </c>
      <c r="O8" s="303">
        <v>1</v>
      </c>
      <c r="P8" s="303">
        <v>0</v>
      </c>
      <c r="Q8" s="303">
        <v>0</v>
      </c>
      <c r="R8" s="303">
        <v>0</v>
      </c>
      <c r="S8" s="303">
        <v>0</v>
      </c>
      <c r="T8" s="303">
        <v>0</v>
      </c>
      <c r="U8" s="303">
        <v>0</v>
      </c>
      <c r="V8" s="298" t="str">
        <f t="shared" si="4"/>
        <v>ok</v>
      </c>
      <c r="W8" s="312" t="s">
        <v>706</v>
      </c>
      <c r="X8" s="778">
        <f>IF($W8="No",$M8*N8,$M8*N8*(1-'Policy Allocations'!G$7))</f>
        <v>0</v>
      </c>
      <c r="Y8" s="778">
        <f>IF($W8="No",$M8*O8,$M8*O8*(1-'Policy Allocations'!G$8))</f>
        <v>0</v>
      </c>
      <c r="Z8" s="778">
        <f>IF($W8="No",$M8*P8,$M8*P8*(1-'Policy Allocations'!G$9))</f>
        <v>0</v>
      </c>
      <c r="AA8" s="778">
        <f>IF($W8="No",$M8*Q8,$M8*Q8*(1-'Policy Allocations'!G$10))</f>
        <v>0</v>
      </c>
      <c r="AB8" s="778">
        <f>IF($W8="No",$M8*R8,$M8*R8*(1-'Policy Allocations'!G$11))</f>
        <v>0</v>
      </c>
      <c r="AC8" s="778">
        <f>IF($W8="No",$M8*S8,$M8*S8*(1-'Policy Allocations'!G$12))</f>
        <v>0</v>
      </c>
      <c r="AD8" s="778">
        <f>IF($W8="No",$M8*T8,$M8*T8*(1-'Policy Allocations'!G$13))</f>
        <v>0</v>
      </c>
      <c r="AE8" s="778">
        <f>IF($W8="No",$M8*U8,$M8*U8*(1-'Policy Allocations'!G$14))</f>
        <v>0</v>
      </c>
      <c r="AF8" s="778">
        <f t="shared" si="5"/>
        <v>0</v>
      </c>
      <c r="AG8" s="777">
        <f t="shared" si="6"/>
        <v>0</v>
      </c>
      <c r="AH8" s="232"/>
      <c r="AI8" s="5"/>
      <c r="AJ8" s="5"/>
    </row>
    <row r="9" spans="1:36" s="14" customFormat="1">
      <c r="A9" s="14" t="s">
        <v>985</v>
      </c>
      <c r="B9" s="235" t="s">
        <v>88</v>
      </c>
      <c r="C9" s="235" t="s">
        <v>180</v>
      </c>
      <c r="D9" s="235" t="s">
        <v>1069</v>
      </c>
      <c r="E9" s="235" t="s">
        <v>787</v>
      </c>
      <c r="F9" s="235" t="s">
        <v>1070</v>
      </c>
      <c r="G9" s="771">
        <f>VLOOKUP($A9,'Contracts '!$A$2:$J$87,10,FALSE)</f>
        <v>0</v>
      </c>
      <c r="H9" s="773">
        <f>VLOOKUP(A9,'Contracts inf'!$A$3:$I$81,9,FALSE)</f>
        <v>0</v>
      </c>
      <c r="I9" s="774">
        <f t="shared" si="0"/>
        <v>0</v>
      </c>
      <c r="J9" s="325">
        <v>0.52</v>
      </c>
      <c r="K9" s="773">
        <f t="shared" si="1"/>
        <v>0</v>
      </c>
      <c r="L9" s="773">
        <f t="shared" si="2"/>
        <v>0</v>
      </c>
      <c r="M9" s="775">
        <f t="shared" si="3"/>
        <v>0</v>
      </c>
      <c r="N9" s="302">
        <v>0</v>
      </c>
      <c r="O9" s="303">
        <v>0</v>
      </c>
      <c r="P9" s="303">
        <v>1</v>
      </c>
      <c r="Q9" s="303">
        <v>0</v>
      </c>
      <c r="R9" s="303">
        <v>0</v>
      </c>
      <c r="S9" s="303">
        <v>0</v>
      </c>
      <c r="T9" s="303">
        <v>0</v>
      </c>
      <c r="U9" s="303">
        <v>0</v>
      </c>
      <c r="V9" s="298" t="str">
        <f t="shared" si="4"/>
        <v>ok</v>
      </c>
      <c r="W9" s="312" t="s">
        <v>706</v>
      </c>
      <c r="X9" s="778">
        <f>IF($W9="No",$M9*N9,$M9*N9*(1-'Policy Allocations'!G$7))</f>
        <v>0</v>
      </c>
      <c r="Y9" s="778">
        <f>IF($W9="No",$M9*O9,$M9*O9*(1-'Policy Allocations'!G$8))</f>
        <v>0</v>
      </c>
      <c r="Z9" s="778">
        <f>IF($W9="No",$M9*P9,$M9*P9*(1-'Policy Allocations'!G$9))</f>
        <v>0</v>
      </c>
      <c r="AA9" s="778">
        <f>IF($W9="No",$M9*Q9,$M9*Q9*(1-'Policy Allocations'!G$10))</f>
        <v>0</v>
      </c>
      <c r="AB9" s="778">
        <f>IF($W9="No",$M9*R9,$M9*R9*(1-'Policy Allocations'!G$11))</f>
        <v>0</v>
      </c>
      <c r="AC9" s="778">
        <f>IF($W9="No",$M9*S9,$M9*S9*(1-'Policy Allocations'!G$12))</f>
        <v>0</v>
      </c>
      <c r="AD9" s="778">
        <f>IF($W9="No",$M9*T9,$M9*T9*(1-'Policy Allocations'!G$13))</f>
        <v>0</v>
      </c>
      <c r="AE9" s="778">
        <f>IF($W9="No",$M9*U9,$M9*U9*(1-'Policy Allocations'!G$14))</f>
        <v>0</v>
      </c>
      <c r="AF9" s="778">
        <f t="shared" si="5"/>
        <v>0</v>
      </c>
      <c r="AG9" s="777">
        <f t="shared" si="6"/>
        <v>0</v>
      </c>
      <c r="AH9" s="232"/>
      <c r="AI9" s="5"/>
      <c r="AJ9" s="5"/>
    </row>
    <row r="10" spans="1:36" s="14" customFormat="1">
      <c r="A10" s="14" t="s">
        <v>989</v>
      </c>
      <c r="B10" s="235" t="s">
        <v>88</v>
      </c>
      <c r="C10" s="235" t="s">
        <v>183</v>
      </c>
      <c r="D10" s="235" t="s">
        <v>1069</v>
      </c>
      <c r="E10" s="235" t="s">
        <v>787</v>
      </c>
      <c r="F10" s="235" t="s">
        <v>1071</v>
      </c>
      <c r="G10" s="771">
        <f>VLOOKUP($A10,'Contracts '!$A$2:$J$87,10,FALSE)</f>
        <v>0</v>
      </c>
      <c r="H10" s="773">
        <f>VLOOKUP(A10,'Contracts inf'!$A$3:$I$81,9,FALSE)</f>
        <v>0</v>
      </c>
      <c r="I10" s="774">
        <f t="shared" si="0"/>
        <v>0</v>
      </c>
      <c r="J10" s="325">
        <v>0.52</v>
      </c>
      <c r="K10" s="773">
        <f t="shared" si="1"/>
        <v>0</v>
      </c>
      <c r="L10" s="773">
        <f t="shared" si="2"/>
        <v>0</v>
      </c>
      <c r="M10" s="775">
        <f t="shared" si="3"/>
        <v>0</v>
      </c>
      <c r="N10" s="302">
        <v>0</v>
      </c>
      <c r="O10" s="303">
        <v>0</v>
      </c>
      <c r="P10" s="303">
        <v>1</v>
      </c>
      <c r="Q10" s="303">
        <v>0</v>
      </c>
      <c r="R10" s="303">
        <v>0</v>
      </c>
      <c r="S10" s="303">
        <v>0</v>
      </c>
      <c r="T10" s="303">
        <v>0</v>
      </c>
      <c r="U10" s="303">
        <v>0</v>
      </c>
      <c r="V10" s="298" t="str">
        <f t="shared" si="4"/>
        <v>ok</v>
      </c>
      <c r="W10" s="312" t="s">
        <v>706</v>
      </c>
      <c r="X10" s="778">
        <f>IF($W10="No",$M10*N10,$M10*N10*(1-'Policy Allocations'!G$7))</f>
        <v>0</v>
      </c>
      <c r="Y10" s="778">
        <f>IF($W10="No",$M10*O10,$M10*O10*(1-'Policy Allocations'!G$8))</f>
        <v>0</v>
      </c>
      <c r="Z10" s="778">
        <f>IF($W10="No",$M10*P10,$M10*P10*(1-'Policy Allocations'!G$9))</f>
        <v>0</v>
      </c>
      <c r="AA10" s="778">
        <f>IF($W10="No",$M10*Q10,$M10*Q10*(1-'Policy Allocations'!G$10))</f>
        <v>0</v>
      </c>
      <c r="AB10" s="778">
        <f>IF($W10="No",$M10*R10,$M10*R10*(1-'Policy Allocations'!G$11))</f>
        <v>0</v>
      </c>
      <c r="AC10" s="778">
        <f>IF($W10="No",$M10*S10,$M10*S10*(1-'Policy Allocations'!G$12))</f>
        <v>0</v>
      </c>
      <c r="AD10" s="778">
        <f>IF($W10="No",$M10*T10,$M10*T10*(1-'Policy Allocations'!G$13))</f>
        <v>0</v>
      </c>
      <c r="AE10" s="778">
        <f>IF($W10="No",$M10*U10,$M10*U10*(1-'Policy Allocations'!G$14))</f>
        <v>0</v>
      </c>
      <c r="AF10" s="778">
        <f t="shared" si="5"/>
        <v>0</v>
      </c>
      <c r="AG10" s="777">
        <f t="shared" si="6"/>
        <v>0</v>
      </c>
      <c r="AH10" s="232"/>
      <c r="AI10" s="5"/>
      <c r="AJ10" s="5"/>
    </row>
    <row r="11" spans="1:36" s="14" customFormat="1">
      <c r="A11" s="14" t="s">
        <v>991</v>
      </c>
      <c r="B11" s="235" t="s">
        <v>88</v>
      </c>
      <c r="C11" s="235" t="s">
        <v>617</v>
      </c>
      <c r="D11" s="235" t="s">
        <v>1066</v>
      </c>
      <c r="E11" s="235" t="s">
        <v>179</v>
      </c>
      <c r="F11" s="235" t="s">
        <v>1072</v>
      </c>
      <c r="G11" s="771">
        <f>VLOOKUP($A11,'Contracts '!$A$2:$J$87,10,FALSE)</f>
        <v>0</v>
      </c>
      <c r="H11" s="773">
        <f>VLOOKUP(A11,'Contracts inf'!$A$3:$I$81,9,FALSE)</f>
        <v>0</v>
      </c>
      <c r="I11" s="774">
        <f t="shared" si="0"/>
        <v>0</v>
      </c>
      <c r="J11" s="325">
        <v>0.52</v>
      </c>
      <c r="K11" s="773">
        <f t="shared" si="1"/>
        <v>0</v>
      </c>
      <c r="L11" s="773">
        <f t="shared" si="2"/>
        <v>0</v>
      </c>
      <c r="M11" s="775">
        <f t="shared" si="3"/>
        <v>0</v>
      </c>
      <c r="N11" s="302">
        <v>0</v>
      </c>
      <c r="O11" s="303">
        <v>1</v>
      </c>
      <c r="P11" s="303">
        <v>0</v>
      </c>
      <c r="Q11" s="303">
        <v>0</v>
      </c>
      <c r="R11" s="303">
        <v>0</v>
      </c>
      <c r="S11" s="303">
        <v>0</v>
      </c>
      <c r="T11" s="303">
        <v>0</v>
      </c>
      <c r="U11" s="303">
        <v>0</v>
      </c>
      <c r="V11" s="298" t="str">
        <f t="shared" si="4"/>
        <v>ok</v>
      </c>
      <c r="W11" s="312" t="s">
        <v>713</v>
      </c>
      <c r="X11" s="778">
        <f>IF($W11="No",$M11*N11,$M11*N11*(1-'Policy Allocations'!G$7))</f>
        <v>0</v>
      </c>
      <c r="Y11" s="778">
        <f>IF($W11="No",$M11*O11,$M11*O11*(1-'Policy Allocations'!G$8))</f>
        <v>0</v>
      </c>
      <c r="Z11" s="778">
        <f>IF($W11="No",$M11*P11,$M11*P11*(1-'Policy Allocations'!G$9))</f>
        <v>0</v>
      </c>
      <c r="AA11" s="778">
        <f>IF($W11="No",$M11*Q11,$M11*Q11*(1-'Policy Allocations'!G$10))</f>
        <v>0</v>
      </c>
      <c r="AB11" s="778">
        <f>IF($W11="No",$M11*R11,$M11*R11*(1-'Policy Allocations'!G$11))</f>
        <v>0</v>
      </c>
      <c r="AC11" s="778">
        <f>IF($W11="No",$M11*S11,$M11*S11*(1-'Policy Allocations'!G$12))</f>
        <v>0</v>
      </c>
      <c r="AD11" s="778">
        <f>IF($W11="No",$M11*T11,$M11*T11*(1-'Policy Allocations'!G$13))</f>
        <v>0</v>
      </c>
      <c r="AE11" s="778">
        <f>IF($W11="No",$M11*U11,$M11*U11*(1-'Policy Allocations'!G$14))</f>
        <v>0</v>
      </c>
      <c r="AF11" s="778">
        <f t="shared" si="5"/>
        <v>0</v>
      </c>
      <c r="AG11" s="777">
        <f t="shared" si="6"/>
        <v>0</v>
      </c>
      <c r="AH11" s="232"/>
      <c r="AI11" s="5"/>
      <c r="AJ11" s="5"/>
    </row>
    <row r="12" spans="1:36" s="14" customFormat="1">
      <c r="A12" s="14" t="s">
        <v>993</v>
      </c>
      <c r="B12" s="235" t="s">
        <v>88</v>
      </c>
      <c r="C12" s="235" t="s">
        <v>781</v>
      </c>
      <c r="D12" s="235" t="s">
        <v>1066</v>
      </c>
      <c r="E12" s="235" t="s">
        <v>179</v>
      </c>
      <c r="F12" s="235" t="s">
        <v>1073</v>
      </c>
      <c r="G12" s="771">
        <f>VLOOKUP($A12,'Contracts '!$A$2:$J$87,10,FALSE)</f>
        <v>0</v>
      </c>
      <c r="H12" s="773">
        <f>VLOOKUP(A12,'Contracts inf'!$A$3:$I$81,9,FALSE)</f>
        <v>0</v>
      </c>
      <c r="I12" s="774">
        <f t="shared" si="0"/>
        <v>0</v>
      </c>
      <c r="J12" s="325">
        <v>0.52</v>
      </c>
      <c r="K12" s="773">
        <f t="shared" si="1"/>
        <v>0</v>
      </c>
      <c r="L12" s="773">
        <f t="shared" si="2"/>
        <v>0</v>
      </c>
      <c r="M12" s="775">
        <f t="shared" si="3"/>
        <v>0</v>
      </c>
      <c r="N12" s="302">
        <v>0</v>
      </c>
      <c r="O12" s="303">
        <v>1</v>
      </c>
      <c r="P12" s="303">
        <v>0</v>
      </c>
      <c r="Q12" s="303">
        <v>0</v>
      </c>
      <c r="R12" s="303">
        <v>0</v>
      </c>
      <c r="S12" s="303">
        <v>0</v>
      </c>
      <c r="T12" s="303">
        <v>0</v>
      </c>
      <c r="U12" s="303">
        <v>0</v>
      </c>
      <c r="V12" s="298" t="str">
        <f t="shared" si="4"/>
        <v>ok</v>
      </c>
      <c r="W12" s="312" t="s">
        <v>713</v>
      </c>
      <c r="X12" s="778">
        <f>IF($W12="No",$M12*N12,$M12*N12*(1-'Policy Allocations'!G$7))</f>
        <v>0</v>
      </c>
      <c r="Y12" s="778">
        <f>IF($W12="No",$M12*O12,$M12*O12*(1-'Policy Allocations'!G$8))</f>
        <v>0</v>
      </c>
      <c r="Z12" s="778">
        <f>IF($W12="No",$M12*P12,$M12*P12*(1-'Policy Allocations'!G$9))</f>
        <v>0</v>
      </c>
      <c r="AA12" s="778">
        <f>IF($W12="No",$M12*Q12,$M12*Q12*(1-'Policy Allocations'!G$10))</f>
        <v>0</v>
      </c>
      <c r="AB12" s="778">
        <f>IF($W12="No",$M12*R12,$M12*R12*(1-'Policy Allocations'!G$11))</f>
        <v>0</v>
      </c>
      <c r="AC12" s="778">
        <f>IF($W12="No",$M12*S12,$M12*S12*(1-'Policy Allocations'!G$12))</f>
        <v>0</v>
      </c>
      <c r="AD12" s="778">
        <f>IF($W12="No",$M12*T12,$M12*T12*(1-'Policy Allocations'!G$13))</f>
        <v>0</v>
      </c>
      <c r="AE12" s="778">
        <f>IF($W12="No",$M12*U12,$M12*U12*(1-'Policy Allocations'!G$14))</f>
        <v>0</v>
      </c>
      <c r="AF12" s="778">
        <f t="shared" si="5"/>
        <v>0</v>
      </c>
      <c r="AG12" s="777">
        <f t="shared" si="6"/>
        <v>0</v>
      </c>
      <c r="AH12" s="232"/>
      <c r="AI12" s="5"/>
      <c r="AJ12" s="5"/>
    </row>
    <row r="13" spans="1:36" s="14" customFormat="1">
      <c r="A13" s="14" t="s">
        <v>640</v>
      </c>
      <c r="B13" s="235" t="s">
        <v>88</v>
      </c>
      <c r="C13" s="235" t="s">
        <v>711</v>
      </c>
      <c r="D13" s="235" t="s">
        <v>1074</v>
      </c>
      <c r="E13" s="235" t="s">
        <v>184</v>
      </c>
      <c r="F13" s="235" t="s">
        <v>968</v>
      </c>
      <c r="G13" s="771">
        <f>VLOOKUP($A13,'Contracts '!$A$2:$J$87,10,FALSE)</f>
        <v>0</v>
      </c>
      <c r="H13" s="773">
        <f>VLOOKUP(A13,'Contracts inf'!$A$3:$I$81,9,FALSE)</f>
        <v>0</v>
      </c>
      <c r="I13" s="774">
        <f t="shared" si="0"/>
        <v>0</v>
      </c>
      <c r="J13" s="325">
        <v>0.52</v>
      </c>
      <c r="K13" s="773">
        <f t="shared" si="1"/>
        <v>0</v>
      </c>
      <c r="L13" s="773">
        <f t="shared" si="2"/>
        <v>0</v>
      </c>
      <c r="M13" s="775">
        <f t="shared" si="3"/>
        <v>0</v>
      </c>
      <c r="N13" s="302">
        <v>0</v>
      </c>
      <c r="O13" s="303">
        <v>1</v>
      </c>
      <c r="P13" s="303">
        <v>0</v>
      </c>
      <c r="Q13" s="303">
        <v>0</v>
      </c>
      <c r="R13" s="303">
        <v>0</v>
      </c>
      <c r="S13" s="303">
        <v>0</v>
      </c>
      <c r="T13" s="303">
        <v>0</v>
      </c>
      <c r="U13" s="303">
        <v>0</v>
      </c>
      <c r="V13" s="298" t="str">
        <f t="shared" si="4"/>
        <v>ok</v>
      </c>
      <c r="W13" s="312" t="s">
        <v>706</v>
      </c>
      <c r="X13" s="778">
        <f>IF($W13="No",$M13*N13,$M13*N13*(1-'Policy Allocations'!G$7))</f>
        <v>0</v>
      </c>
      <c r="Y13" s="778">
        <f>IF($W13="No",$M13*O13,$M13*O13*(1-'Policy Allocations'!G$8))</f>
        <v>0</v>
      </c>
      <c r="Z13" s="778">
        <f>IF($W13="No",$M13*P13,$M13*P13*(1-'Policy Allocations'!G$9))</f>
        <v>0</v>
      </c>
      <c r="AA13" s="778">
        <f>IF($W13="No",$M13*Q13,$M13*Q13*(1-'Policy Allocations'!G$10))</f>
        <v>0</v>
      </c>
      <c r="AB13" s="778">
        <f>IF($W13="No",$M13*R13,$M13*R13*(1-'Policy Allocations'!G$11))</f>
        <v>0</v>
      </c>
      <c r="AC13" s="778">
        <f>IF($W13="No",$M13*S13,$M13*S13*(1-'Policy Allocations'!G$12))</f>
        <v>0</v>
      </c>
      <c r="AD13" s="778">
        <f>IF($W13="No",$M13*T13,$M13*T13*(1-'Policy Allocations'!G$13))</f>
        <v>0</v>
      </c>
      <c r="AE13" s="778">
        <f>IF($W13="No",$M13*U13,$M13*U13*(1-'Policy Allocations'!G$14))</f>
        <v>0</v>
      </c>
      <c r="AF13" s="778">
        <f t="shared" si="5"/>
        <v>0</v>
      </c>
      <c r="AG13" s="777">
        <f t="shared" si="6"/>
        <v>0</v>
      </c>
      <c r="AH13" s="232"/>
      <c r="AI13" s="5"/>
      <c r="AJ13" s="5"/>
    </row>
    <row r="14" spans="1:36" s="14" customFormat="1">
      <c r="A14" s="14" t="s">
        <v>641</v>
      </c>
      <c r="B14" s="235" t="s">
        <v>88</v>
      </c>
      <c r="C14" s="235" t="s">
        <v>715</v>
      </c>
      <c r="D14" s="235" t="s">
        <v>1074</v>
      </c>
      <c r="E14" s="235" t="s">
        <v>184</v>
      </c>
      <c r="F14" s="235" t="s">
        <v>969</v>
      </c>
      <c r="G14" s="771">
        <f>VLOOKUP($A14,'Contracts '!$A$2:$J$87,10,FALSE)</f>
        <v>0</v>
      </c>
      <c r="H14" s="773">
        <f>VLOOKUP(A14,'Contracts inf'!$A$3:$I$81,9,FALSE)</f>
        <v>0</v>
      </c>
      <c r="I14" s="774">
        <f t="shared" si="0"/>
        <v>0</v>
      </c>
      <c r="J14" s="325">
        <v>0.52</v>
      </c>
      <c r="K14" s="773">
        <f t="shared" si="1"/>
        <v>0</v>
      </c>
      <c r="L14" s="773">
        <f t="shared" si="2"/>
        <v>0</v>
      </c>
      <c r="M14" s="775">
        <f t="shared" si="3"/>
        <v>0</v>
      </c>
      <c r="N14" s="302">
        <v>0</v>
      </c>
      <c r="O14" s="303">
        <v>1</v>
      </c>
      <c r="P14" s="303">
        <v>0</v>
      </c>
      <c r="Q14" s="303">
        <v>0</v>
      </c>
      <c r="R14" s="303">
        <v>0</v>
      </c>
      <c r="S14" s="303">
        <v>0</v>
      </c>
      <c r="T14" s="303">
        <v>0</v>
      </c>
      <c r="U14" s="303">
        <v>0</v>
      </c>
      <c r="V14" s="298" t="str">
        <f t="shared" si="4"/>
        <v>ok</v>
      </c>
      <c r="W14" s="312" t="s">
        <v>713</v>
      </c>
      <c r="X14" s="778">
        <f>IF($W14="No",$M14*N14,$M14*N14*(1-'Policy Allocations'!G$7))</f>
        <v>0</v>
      </c>
      <c r="Y14" s="778">
        <f>IF($W14="No",$M14*O14,$M14*O14*(1-'Policy Allocations'!G$8))</f>
        <v>0</v>
      </c>
      <c r="Z14" s="778">
        <f>IF($W14="No",$M14*P14,$M14*P14*(1-'Policy Allocations'!G$9))</f>
        <v>0</v>
      </c>
      <c r="AA14" s="778">
        <f>IF($W14="No",$M14*Q14,$M14*Q14*(1-'Policy Allocations'!G$10))</f>
        <v>0</v>
      </c>
      <c r="AB14" s="778">
        <f>IF($W14="No",$M14*R14,$M14*R14*(1-'Policy Allocations'!G$11))</f>
        <v>0</v>
      </c>
      <c r="AC14" s="778">
        <f>IF($W14="No",$M14*S14,$M14*S14*(1-'Policy Allocations'!G$12))</f>
        <v>0</v>
      </c>
      <c r="AD14" s="778">
        <f>IF($W14="No",$M14*T14,$M14*T14*(1-'Policy Allocations'!G$13))</f>
        <v>0</v>
      </c>
      <c r="AE14" s="778">
        <f>IF($W14="No",$M14*U14,$M14*U14*(1-'Policy Allocations'!G$14))</f>
        <v>0</v>
      </c>
      <c r="AF14" s="778">
        <f t="shared" si="5"/>
        <v>0</v>
      </c>
      <c r="AG14" s="777">
        <f t="shared" si="6"/>
        <v>0</v>
      </c>
      <c r="AH14" s="232"/>
      <c r="AI14" s="5"/>
      <c r="AJ14" s="5"/>
    </row>
    <row r="15" spans="1:36" s="14" customFormat="1">
      <c r="A15" s="14" t="s">
        <v>634</v>
      </c>
      <c r="B15" s="235" t="s">
        <v>88</v>
      </c>
      <c r="C15" s="235" t="s">
        <v>707</v>
      </c>
      <c r="D15" s="235" t="s">
        <v>1066</v>
      </c>
      <c r="E15" s="235" t="s">
        <v>179</v>
      </c>
      <c r="F15" s="235" t="s">
        <v>1075</v>
      </c>
      <c r="G15" s="771">
        <f>VLOOKUP($A15,'Contracts '!$A$2:$J$87,10,FALSE)</f>
        <v>0</v>
      </c>
      <c r="H15" s="773">
        <f>VLOOKUP(A15,'Contracts inf'!$A$3:$I$81,9,FALSE)</f>
        <v>0</v>
      </c>
      <c r="I15" s="774">
        <f t="shared" si="0"/>
        <v>0</v>
      </c>
      <c r="J15" s="325">
        <v>0.52</v>
      </c>
      <c r="K15" s="773">
        <f t="shared" si="1"/>
        <v>0</v>
      </c>
      <c r="L15" s="773">
        <f t="shared" si="2"/>
        <v>0</v>
      </c>
      <c r="M15" s="775">
        <f t="shared" si="3"/>
        <v>0</v>
      </c>
      <c r="N15" s="302">
        <v>0</v>
      </c>
      <c r="O15" s="303">
        <v>1</v>
      </c>
      <c r="P15" s="303">
        <v>0</v>
      </c>
      <c r="Q15" s="303">
        <v>0</v>
      </c>
      <c r="R15" s="303">
        <v>0</v>
      </c>
      <c r="S15" s="303">
        <v>0</v>
      </c>
      <c r="T15" s="303">
        <v>0</v>
      </c>
      <c r="U15" s="303">
        <v>0</v>
      </c>
      <c r="V15" s="298" t="str">
        <f t="shared" si="4"/>
        <v>ok</v>
      </c>
      <c r="W15" s="312" t="s">
        <v>706</v>
      </c>
      <c r="X15" s="778">
        <f>IF($W15="No",$M15*N15,$M15*N15*(1-'Policy Allocations'!G$7))</f>
        <v>0</v>
      </c>
      <c r="Y15" s="778">
        <f>IF($W15="No",$M15*O15,$M15*O15*(1-'Policy Allocations'!G$8))</f>
        <v>0</v>
      </c>
      <c r="Z15" s="778">
        <f>IF($W15="No",$M15*P15,$M15*P15*(1-'Policy Allocations'!G$9))</f>
        <v>0</v>
      </c>
      <c r="AA15" s="778">
        <f>IF($W15="No",$M15*Q15,$M15*Q15*(1-'Policy Allocations'!G$10))</f>
        <v>0</v>
      </c>
      <c r="AB15" s="778">
        <f>IF($W15="No",$M15*R15,$M15*R15*(1-'Policy Allocations'!G$11))</f>
        <v>0</v>
      </c>
      <c r="AC15" s="778">
        <f>IF($W15="No",$M15*S15,$M15*S15*(1-'Policy Allocations'!G$12))</f>
        <v>0</v>
      </c>
      <c r="AD15" s="778">
        <f>IF($W15="No",$M15*T15,$M15*T15*(1-'Policy Allocations'!G$13))</f>
        <v>0</v>
      </c>
      <c r="AE15" s="778">
        <f>IF($W15="No",$M15*U15,$M15*U15*(1-'Policy Allocations'!G$14))</f>
        <v>0</v>
      </c>
      <c r="AF15" s="778">
        <f t="shared" si="5"/>
        <v>0</v>
      </c>
      <c r="AG15" s="777">
        <f t="shared" si="6"/>
        <v>0</v>
      </c>
      <c r="AH15" s="232"/>
      <c r="AI15" s="5"/>
      <c r="AJ15" s="5"/>
    </row>
    <row r="16" spans="1:36" s="14" customFormat="1">
      <c r="A16" s="14" t="s">
        <v>635</v>
      </c>
      <c r="B16" s="235" t="s">
        <v>88</v>
      </c>
      <c r="C16" s="235" t="s">
        <v>709</v>
      </c>
      <c r="D16" s="235" t="s">
        <v>1066</v>
      </c>
      <c r="E16" s="235" t="s">
        <v>179</v>
      </c>
      <c r="F16" s="235" t="s">
        <v>1076</v>
      </c>
      <c r="G16" s="771">
        <f>VLOOKUP($A16,'Contracts '!$A$2:$J$87,10,FALSE)</f>
        <v>0</v>
      </c>
      <c r="H16" s="773">
        <f>VLOOKUP(A16,'Contracts inf'!$A$3:$I$81,9,FALSE)</f>
        <v>0</v>
      </c>
      <c r="I16" s="774">
        <f t="shared" si="0"/>
        <v>0</v>
      </c>
      <c r="J16" s="325">
        <v>0.52</v>
      </c>
      <c r="K16" s="773">
        <f t="shared" si="1"/>
        <v>0</v>
      </c>
      <c r="L16" s="773">
        <f t="shared" si="2"/>
        <v>0</v>
      </c>
      <c r="M16" s="775">
        <f t="shared" si="3"/>
        <v>0</v>
      </c>
      <c r="N16" s="302">
        <v>0</v>
      </c>
      <c r="O16" s="303">
        <v>1</v>
      </c>
      <c r="P16" s="303">
        <v>0</v>
      </c>
      <c r="Q16" s="303">
        <v>0</v>
      </c>
      <c r="R16" s="303">
        <v>0</v>
      </c>
      <c r="S16" s="303">
        <v>0</v>
      </c>
      <c r="T16" s="303">
        <v>0</v>
      </c>
      <c r="U16" s="303">
        <v>0</v>
      </c>
      <c r="V16" s="298" t="str">
        <f t="shared" si="4"/>
        <v>ok</v>
      </c>
      <c r="W16" s="312" t="s">
        <v>706</v>
      </c>
      <c r="X16" s="778">
        <f>IF($W16="No",$M16*N16,$M16*N16*(1-'Policy Allocations'!G$7))</f>
        <v>0</v>
      </c>
      <c r="Y16" s="778">
        <f>IF($W16="No",$M16*O16,$M16*O16*(1-'Policy Allocations'!G$8))</f>
        <v>0</v>
      </c>
      <c r="Z16" s="778">
        <f>IF($W16="No",$M16*P16,$M16*P16*(1-'Policy Allocations'!G$9))</f>
        <v>0</v>
      </c>
      <c r="AA16" s="778">
        <f>IF($W16="No",$M16*Q16,$M16*Q16*(1-'Policy Allocations'!G$10))</f>
        <v>0</v>
      </c>
      <c r="AB16" s="778">
        <f>IF($W16="No",$M16*R16,$M16*R16*(1-'Policy Allocations'!G$11))</f>
        <v>0</v>
      </c>
      <c r="AC16" s="778">
        <f>IF($W16="No",$M16*S16,$M16*S16*(1-'Policy Allocations'!G$12))</f>
        <v>0</v>
      </c>
      <c r="AD16" s="778">
        <f>IF($W16="No",$M16*T16,$M16*T16*(1-'Policy Allocations'!G$13))</f>
        <v>0</v>
      </c>
      <c r="AE16" s="778">
        <f>IF($W16="No",$M16*U16,$M16*U16*(1-'Policy Allocations'!G$14))</f>
        <v>0</v>
      </c>
      <c r="AF16" s="778">
        <f t="shared" si="5"/>
        <v>0</v>
      </c>
      <c r="AG16" s="777">
        <f t="shared" si="6"/>
        <v>0</v>
      </c>
      <c r="AH16" s="232"/>
      <c r="AI16" s="5"/>
      <c r="AJ16" s="5"/>
    </row>
    <row r="17" spans="1:36" s="14" customFormat="1">
      <c r="A17" s="14" t="s">
        <v>636</v>
      </c>
      <c r="B17" s="235" t="s">
        <v>88</v>
      </c>
      <c r="C17" s="235" t="s">
        <v>705</v>
      </c>
      <c r="D17" s="235" t="s">
        <v>1066</v>
      </c>
      <c r="E17" s="235" t="s">
        <v>179</v>
      </c>
      <c r="F17" s="235" t="s">
        <v>1077</v>
      </c>
      <c r="G17" s="771">
        <f>VLOOKUP($A17,'Contracts '!$A$2:$J$87,10,FALSE)</f>
        <v>0</v>
      </c>
      <c r="H17" s="773">
        <f>VLOOKUP(A17,'Contracts inf'!$A$3:$I$81,9,FALSE)</f>
        <v>0</v>
      </c>
      <c r="I17" s="774">
        <f t="shared" si="0"/>
        <v>0</v>
      </c>
      <c r="J17" s="325">
        <v>0.52</v>
      </c>
      <c r="K17" s="773">
        <f t="shared" si="1"/>
        <v>0</v>
      </c>
      <c r="L17" s="773">
        <f t="shared" si="2"/>
        <v>0</v>
      </c>
      <c r="M17" s="775">
        <f t="shared" si="3"/>
        <v>0</v>
      </c>
      <c r="N17" s="302">
        <v>0</v>
      </c>
      <c r="O17" s="303">
        <v>0</v>
      </c>
      <c r="P17" s="303">
        <v>1</v>
      </c>
      <c r="Q17" s="303">
        <v>0</v>
      </c>
      <c r="R17" s="303">
        <v>0</v>
      </c>
      <c r="S17" s="303">
        <v>0</v>
      </c>
      <c r="T17" s="303">
        <v>0</v>
      </c>
      <c r="U17" s="303">
        <v>0</v>
      </c>
      <c r="V17" s="298" t="str">
        <f t="shared" si="4"/>
        <v>ok</v>
      </c>
      <c r="W17" s="312" t="s">
        <v>706</v>
      </c>
      <c r="X17" s="778">
        <f>IF($W17="No",$M17*N17,$M17*N17*(1-'Policy Allocations'!G$7))</f>
        <v>0</v>
      </c>
      <c r="Y17" s="778">
        <f>IF($W17="No",$M17*O17,$M17*O17*(1-'Policy Allocations'!G$8))</f>
        <v>0</v>
      </c>
      <c r="Z17" s="778">
        <f>IF($W17="No",$M17*P17,$M17*P17*(1-'Policy Allocations'!G$9))</f>
        <v>0</v>
      </c>
      <c r="AA17" s="778">
        <f>IF($W17="No",$M17*Q17,$M17*Q17*(1-'Policy Allocations'!G$10))</f>
        <v>0</v>
      </c>
      <c r="AB17" s="778">
        <f>IF($W17="No",$M17*R17,$M17*R17*(1-'Policy Allocations'!G$11))</f>
        <v>0</v>
      </c>
      <c r="AC17" s="778">
        <f>IF($W17="No",$M17*S17,$M17*S17*(1-'Policy Allocations'!G$12))</f>
        <v>0</v>
      </c>
      <c r="AD17" s="778">
        <f>IF($W17="No",$M17*T17,$M17*T17*(1-'Policy Allocations'!G$13))</f>
        <v>0</v>
      </c>
      <c r="AE17" s="778">
        <f>IF($W17="No",$M17*U17,$M17*U17*(1-'Policy Allocations'!G$14))</f>
        <v>0</v>
      </c>
      <c r="AF17" s="778">
        <f t="shared" si="5"/>
        <v>0</v>
      </c>
      <c r="AG17" s="777">
        <f t="shared" si="6"/>
        <v>0</v>
      </c>
      <c r="AH17" s="232"/>
      <c r="AI17" s="5"/>
      <c r="AJ17" s="5"/>
    </row>
    <row r="18" spans="1:36" s="14" customFormat="1">
      <c r="A18" s="14" t="s">
        <v>637</v>
      </c>
      <c r="B18" s="235" t="s">
        <v>88</v>
      </c>
      <c r="C18" s="235" t="s">
        <v>134</v>
      </c>
      <c r="D18" s="235" t="s">
        <v>1069</v>
      </c>
      <c r="E18" s="235" t="s">
        <v>787</v>
      </c>
      <c r="F18" s="235" t="s">
        <v>1078</v>
      </c>
      <c r="G18" s="771">
        <f>VLOOKUP($A18,'Contracts '!$A$2:$J$87,10,FALSE)</f>
        <v>0</v>
      </c>
      <c r="H18" s="773">
        <f>VLOOKUP(A18,'Contracts inf'!$A$3:$I$81,9,FALSE)</f>
        <v>0</v>
      </c>
      <c r="I18" s="774">
        <f t="shared" si="0"/>
        <v>0</v>
      </c>
      <c r="J18" s="325">
        <v>0.52</v>
      </c>
      <c r="K18" s="773">
        <f t="shared" si="1"/>
        <v>0</v>
      </c>
      <c r="L18" s="773">
        <f t="shared" si="2"/>
        <v>0</v>
      </c>
      <c r="M18" s="775">
        <f t="shared" si="3"/>
        <v>0</v>
      </c>
      <c r="N18" s="302">
        <v>0</v>
      </c>
      <c r="O18" s="303">
        <v>0</v>
      </c>
      <c r="P18" s="303">
        <v>1</v>
      </c>
      <c r="Q18" s="303">
        <v>0</v>
      </c>
      <c r="R18" s="303">
        <v>0</v>
      </c>
      <c r="S18" s="303">
        <v>0</v>
      </c>
      <c r="T18" s="303">
        <v>0</v>
      </c>
      <c r="U18" s="303">
        <v>0</v>
      </c>
      <c r="V18" s="298" t="str">
        <f t="shared" si="4"/>
        <v>ok</v>
      </c>
      <c r="W18" s="312" t="s">
        <v>706</v>
      </c>
      <c r="X18" s="778">
        <f>IF($W18="No",$M18*N18,$M18*N18*(1-'Policy Allocations'!G$7))</f>
        <v>0</v>
      </c>
      <c r="Y18" s="778">
        <f>IF($W18="No",$M18*O18,$M18*O18*(1-'Policy Allocations'!G$8))</f>
        <v>0</v>
      </c>
      <c r="Z18" s="778">
        <f>IF($W18="No",$M18*P18,$M18*P18*(1-'Policy Allocations'!G$9))</f>
        <v>0</v>
      </c>
      <c r="AA18" s="778">
        <f>IF($W18="No",$M18*Q18,$M18*Q18*(1-'Policy Allocations'!G$10))</f>
        <v>0</v>
      </c>
      <c r="AB18" s="778">
        <f>IF($W18="No",$M18*R18,$M18*R18*(1-'Policy Allocations'!G$11))</f>
        <v>0</v>
      </c>
      <c r="AC18" s="778">
        <f>IF($W18="No",$M18*S18,$M18*S18*(1-'Policy Allocations'!G$12))</f>
        <v>0</v>
      </c>
      <c r="AD18" s="778">
        <f>IF($W18="No",$M18*T18,$M18*T18*(1-'Policy Allocations'!G$13))</f>
        <v>0</v>
      </c>
      <c r="AE18" s="778">
        <f>IF($W18="No",$M18*U18,$M18*U18*(1-'Policy Allocations'!G$14))</f>
        <v>0</v>
      </c>
      <c r="AF18" s="778">
        <f t="shared" si="5"/>
        <v>0</v>
      </c>
      <c r="AG18" s="777">
        <f t="shared" si="6"/>
        <v>0</v>
      </c>
      <c r="AH18" s="232"/>
      <c r="AI18" s="5"/>
      <c r="AJ18" s="5"/>
    </row>
    <row r="19" spans="1:36" s="14" customFormat="1">
      <c r="A19" s="14" t="s">
        <v>638</v>
      </c>
      <c r="B19" s="235" t="s">
        <v>88</v>
      </c>
      <c r="C19" s="235" t="s">
        <v>135</v>
      </c>
      <c r="D19" s="235" t="s">
        <v>1069</v>
      </c>
      <c r="E19" s="235" t="s">
        <v>787</v>
      </c>
      <c r="F19" s="235" t="s">
        <v>1079</v>
      </c>
      <c r="G19" s="771">
        <f>VLOOKUP($A19,'Contracts '!$A$2:$J$87,10,FALSE)</f>
        <v>0</v>
      </c>
      <c r="H19" s="773">
        <f>VLOOKUP(A19,'Contracts inf'!$A$3:$I$81,9,FALSE)</f>
        <v>0</v>
      </c>
      <c r="I19" s="774">
        <f t="shared" si="0"/>
        <v>0</v>
      </c>
      <c r="J19" s="325">
        <v>0.52</v>
      </c>
      <c r="K19" s="773">
        <f t="shared" si="1"/>
        <v>0</v>
      </c>
      <c r="L19" s="773">
        <f t="shared" si="2"/>
        <v>0</v>
      </c>
      <c r="M19" s="775">
        <f t="shared" si="3"/>
        <v>0</v>
      </c>
      <c r="N19" s="302">
        <v>0</v>
      </c>
      <c r="O19" s="303">
        <v>0</v>
      </c>
      <c r="P19" s="303">
        <v>1</v>
      </c>
      <c r="Q19" s="303">
        <v>0</v>
      </c>
      <c r="R19" s="303">
        <v>0</v>
      </c>
      <c r="S19" s="303">
        <v>0</v>
      </c>
      <c r="T19" s="303">
        <v>0</v>
      </c>
      <c r="U19" s="303">
        <v>0</v>
      </c>
      <c r="V19" s="298" t="str">
        <f t="shared" si="4"/>
        <v>ok</v>
      </c>
      <c r="W19" s="312" t="s">
        <v>706</v>
      </c>
      <c r="X19" s="778">
        <f>IF($W19="No",$M19*N19,$M19*N19*(1-'Policy Allocations'!G$7))</f>
        <v>0</v>
      </c>
      <c r="Y19" s="778">
        <f>IF($W19="No",$M19*O19,$M19*O19*(1-'Policy Allocations'!G$8))</f>
        <v>0</v>
      </c>
      <c r="Z19" s="778">
        <f>IF($W19="No",$M19*P19,$M19*P19*(1-'Policy Allocations'!G$9))</f>
        <v>0</v>
      </c>
      <c r="AA19" s="778">
        <f>IF($W19="No",$M19*Q19,$M19*Q19*(1-'Policy Allocations'!G$10))</f>
        <v>0</v>
      </c>
      <c r="AB19" s="778">
        <f>IF($W19="No",$M19*R19,$M19*R19*(1-'Policy Allocations'!G$11))</f>
        <v>0</v>
      </c>
      <c r="AC19" s="778">
        <f>IF($W19="No",$M19*S19,$M19*S19*(1-'Policy Allocations'!G$12))</f>
        <v>0</v>
      </c>
      <c r="AD19" s="778">
        <f>IF($W19="No",$M19*T19,$M19*T19*(1-'Policy Allocations'!G$13))</f>
        <v>0</v>
      </c>
      <c r="AE19" s="778">
        <f>IF($W19="No",$M19*U19,$M19*U19*(1-'Policy Allocations'!G$14))</f>
        <v>0</v>
      </c>
      <c r="AF19" s="778">
        <f t="shared" si="5"/>
        <v>0</v>
      </c>
      <c r="AG19" s="777">
        <f t="shared" si="6"/>
        <v>0</v>
      </c>
      <c r="AH19" s="232"/>
      <c r="AI19" s="5"/>
      <c r="AJ19" s="5"/>
    </row>
    <row r="20" spans="1:36" s="14" customFormat="1">
      <c r="A20" s="14" t="s">
        <v>639</v>
      </c>
      <c r="B20" s="235" t="s">
        <v>88</v>
      </c>
      <c r="C20" s="235" t="s">
        <v>710</v>
      </c>
      <c r="D20" s="235" t="s">
        <v>1074</v>
      </c>
      <c r="E20" s="235" t="s">
        <v>184</v>
      </c>
      <c r="F20" s="235" t="s">
        <v>967</v>
      </c>
      <c r="G20" s="771">
        <f>VLOOKUP($A20,'Contracts '!$A$2:$J$87,10,FALSE)</f>
        <v>0</v>
      </c>
      <c r="H20" s="773">
        <f>VLOOKUP(A20,'Contracts inf'!$A$3:$I$81,9,FALSE)</f>
        <v>0</v>
      </c>
      <c r="I20" s="774">
        <f t="shared" si="0"/>
        <v>0</v>
      </c>
      <c r="J20" s="325">
        <v>0.52</v>
      </c>
      <c r="K20" s="773">
        <f t="shared" si="1"/>
        <v>0</v>
      </c>
      <c r="L20" s="773">
        <f t="shared" si="2"/>
        <v>0</v>
      </c>
      <c r="M20" s="775">
        <f>SUM(K20:L20)</f>
        <v>0</v>
      </c>
      <c r="N20" s="302">
        <v>0</v>
      </c>
      <c r="O20" s="303">
        <v>1</v>
      </c>
      <c r="P20" s="303">
        <v>0</v>
      </c>
      <c r="Q20" s="303">
        <v>0</v>
      </c>
      <c r="R20" s="303">
        <v>0</v>
      </c>
      <c r="S20" s="303">
        <v>0</v>
      </c>
      <c r="T20" s="303">
        <v>0</v>
      </c>
      <c r="U20" s="303">
        <v>0</v>
      </c>
      <c r="V20" s="298" t="str">
        <f t="shared" si="4"/>
        <v>ok</v>
      </c>
      <c r="W20" s="312" t="s">
        <v>706</v>
      </c>
      <c r="X20" s="778">
        <f>IF($W20="No",$M20*N20,$M20*N20*(1-'Policy Allocations'!G$7))</f>
        <v>0</v>
      </c>
      <c r="Y20" s="778">
        <f>IF($W20="No",$M20*O20,$M20*O20*(1-'Policy Allocations'!G$8))</f>
        <v>0</v>
      </c>
      <c r="Z20" s="778">
        <f>IF($W20="No",$M20*P20,$M20*P20*(1-'Policy Allocations'!G$9))</f>
        <v>0</v>
      </c>
      <c r="AA20" s="778">
        <f>IF($W20="No",$M20*Q20,$M20*Q20*(1-'Policy Allocations'!G$10))</f>
        <v>0</v>
      </c>
      <c r="AB20" s="778">
        <f>IF($W20="No",$M20*R20,$M20*R20*(1-'Policy Allocations'!G$11))</f>
        <v>0</v>
      </c>
      <c r="AC20" s="778">
        <f>IF($W20="No",$M20*S20,$M20*S20*(1-'Policy Allocations'!G$12))</f>
        <v>0</v>
      </c>
      <c r="AD20" s="778">
        <f>IF($W20="No",$M20*T20,$M20*T20*(1-'Policy Allocations'!G$13))</f>
        <v>0</v>
      </c>
      <c r="AE20" s="778">
        <f>IF($W20="No",$M20*U20,$M20*U20*(1-'Policy Allocations'!G$14))</f>
        <v>0</v>
      </c>
      <c r="AF20" s="778">
        <f>M20-SUM(X20:AE20)</f>
        <v>0</v>
      </c>
      <c r="AG20" s="777">
        <f t="shared" si="6"/>
        <v>0</v>
      </c>
      <c r="AH20" s="232"/>
      <c r="AI20" s="5"/>
      <c r="AJ20" s="5"/>
    </row>
    <row r="21" spans="1:36" s="14" customFormat="1">
      <c r="A21" s="14" t="s">
        <v>1147</v>
      </c>
      <c r="B21" s="235" t="s">
        <v>88</v>
      </c>
      <c r="C21" s="235" t="s">
        <v>1148</v>
      </c>
      <c r="D21" s="235" t="s">
        <v>1066</v>
      </c>
      <c r="E21" s="235" t="s">
        <v>179</v>
      </c>
      <c r="F21" s="235" t="s">
        <v>1146</v>
      </c>
      <c r="G21" s="771">
        <f>VLOOKUP($A21,'Contracts '!$A$2:$J$87,10,FALSE)</f>
        <v>0</v>
      </c>
      <c r="H21" s="773">
        <f>VLOOKUP(A21,'Contracts inf'!$A$3:$I$81,9,FALSE)</f>
        <v>0</v>
      </c>
      <c r="I21" s="774">
        <f t="shared" si="0"/>
        <v>0</v>
      </c>
      <c r="J21" s="325">
        <v>0.52</v>
      </c>
      <c r="K21" s="773">
        <f t="shared" si="1"/>
        <v>0</v>
      </c>
      <c r="L21" s="773">
        <f t="shared" si="2"/>
        <v>0</v>
      </c>
      <c r="M21" s="775">
        <f t="shared" ref="M21:M22" si="7">SUM(K21:L21)</f>
        <v>0</v>
      </c>
      <c r="N21" s="302"/>
      <c r="O21" s="303">
        <v>0.6</v>
      </c>
      <c r="P21" s="303">
        <v>0.4</v>
      </c>
      <c r="Q21" s="303"/>
      <c r="R21" s="303"/>
      <c r="S21" s="303"/>
      <c r="T21" s="303"/>
      <c r="U21" s="303"/>
      <c r="V21" s="298" t="str">
        <f t="shared" ref="V21:V22" si="8">IF(SUM(N21:U21)&lt;&gt;1,"error","ok")</f>
        <v>ok</v>
      </c>
      <c r="W21" s="312" t="s">
        <v>706</v>
      </c>
      <c r="X21" s="778">
        <f>IF($W21="No",$M21*N21,$M21*N21*(1-'Policy Allocations'!G$7))</f>
        <v>0</v>
      </c>
      <c r="Y21" s="778">
        <f>IF($W21="No",$M21*O21,$M21*O21*(1-'Policy Allocations'!G$8))</f>
        <v>0</v>
      </c>
      <c r="Z21" s="778">
        <f>IF($W21="No",$M21*P21,$M21*P21*(1-'Policy Allocations'!G$9))</f>
        <v>0</v>
      </c>
      <c r="AA21" s="778">
        <f>IF($W21="No",$M21*Q21,$M21*Q21*(1-'Policy Allocations'!G$10))</f>
        <v>0</v>
      </c>
      <c r="AB21" s="778">
        <f>IF($W21="No",$M21*R21,$M21*R21*(1-'Policy Allocations'!G$11))</f>
        <v>0</v>
      </c>
      <c r="AC21" s="778">
        <f>IF($W21="No",$M21*S21,$M21*S21*(1-'Policy Allocations'!G$12))</f>
        <v>0</v>
      </c>
      <c r="AD21" s="778">
        <f>IF($W21="No",$M21*T21,$M21*T21*(1-'Policy Allocations'!G$13))</f>
        <v>0</v>
      </c>
      <c r="AE21" s="778">
        <f>IF($W21="No",$M21*U21,$M21*U21*(1-'Policy Allocations'!G$14))</f>
        <v>0</v>
      </c>
      <c r="AF21" s="778">
        <f t="shared" ref="AF21:AF22" si="9">M21-SUM(X21:AE21)</f>
        <v>0</v>
      </c>
      <c r="AG21" s="777">
        <f t="shared" ref="AG21:AG22" si="10">SUM(X21:AF21)</f>
        <v>0</v>
      </c>
      <c r="AH21" s="232"/>
      <c r="AI21" s="5"/>
      <c r="AJ21" s="5"/>
    </row>
    <row r="22" spans="1:36" s="14" customFormat="1">
      <c r="A22" s="14" t="s">
        <v>1150</v>
      </c>
      <c r="B22" s="235" t="s">
        <v>88</v>
      </c>
      <c r="C22" s="235" t="s">
        <v>1151</v>
      </c>
      <c r="D22" s="235" t="s">
        <v>1066</v>
      </c>
      <c r="E22" s="235" t="s">
        <v>179</v>
      </c>
      <c r="F22" s="235" t="s">
        <v>1149</v>
      </c>
      <c r="G22" s="771">
        <f>VLOOKUP($A22,'Contracts '!$A$2:$J$87,10,FALSE)</f>
        <v>0</v>
      </c>
      <c r="H22" s="773">
        <f>VLOOKUP(A22,'Contracts inf'!$A$3:$I$81,9,FALSE)</f>
        <v>0</v>
      </c>
      <c r="I22" s="774">
        <f t="shared" si="0"/>
        <v>0</v>
      </c>
      <c r="J22" s="325">
        <v>0.52</v>
      </c>
      <c r="K22" s="773">
        <f t="shared" si="1"/>
        <v>0</v>
      </c>
      <c r="L22" s="773">
        <f t="shared" si="2"/>
        <v>0</v>
      </c>
      <c r="M22" s="775">
        <f t="shared" si="7"/>
        <v>0</v>
      </c>
      <c r="N22" s="302"/>
      <c r="O22" s="303">
        <v>1</v>
      </c>
      <c r="P22" s="303"/>
      <c r="Q22" s="303"/>
      <c r="R22" s="303"/>
      <c r="S22" s="303"/>
      <c r="T22" s="303"/>
      <c r="U22" s="303"/>
      <c r="V22" s="298" t="str">
        <f t="shared" si="8"/>
        <v>ok</v>
      </c>
      <c r="W22" s="312" t="s">
        <v>706</v>
      </c>
      <c r="X22" s="778">
        <f>IF($W22="No",$M22*N22,$M22*N22*(1-'Policy Allocations'!G$7))</f>
        <v>0</v>
      </c>
      <c r="Y22" s="778">
        <f>IF($W22="No",$M22*O22,$M22*O22*(1-'Policy Allocations'!G$8))</f>
        <v>0</v>
      </c>
      <c r="Z22" s="778">
        <f>IF($W22="No",$M22*P22,$M22*P22*(1-'Policy Allocations'!G$9))</f>
        <v>0</v>
      </c>
      <c r="AA22" s="778">
        <f>IF($W22="No",$M22*Q22,$M22*Q22*(1-'Policy Allocations'!G$10))</f>
        <v>0</v>
      </c>
      <c r="AB22" s="778">
        <f>IF($W22="No",$M22*R22,$M22*R22*(1-'Policy Allocations'!G$11))</f>
        <v>0</v>
      </c>
      <c r="AC22" s="778">
        <f>IF($W22="No",$M22*S22,$M22*S22*(1-'Policy Allocations'!G$12))</f>
        <v>0</v>
      </c>
      <c r="AD22" s="778">
        <f>IF($W22="No",$M22*T22,$M22*T22*(1-'Policy Allocations'!G$13))</f>
        <v>0</v>
      </c>
      <c r="AE22" s="778">
        <f>IF($W22="No",$M22*U22,$M22*U22*(1-'Policy Allocations'!G$14))</f>
        <v>0</v>
      </c>
      <c r="AF22" s="778">
        <f t="shared" si="9"/>
        <v>0</v>
      </c>
      <c r="AG22" s="777">
        <f t="shared" si="10"/>
        <v>0</v>
      </c>
      <c r="AH22" s="232"/>
      <c r="AI22" s="5"/>
      <c r="AJ22" s="5"/>
    </row>
    <row r="23" spans="1:36" s="14" customFormat="1">
      <c r="A23" s="14" t="s">
        <v>972</v>
      </c>
      <c r="B23" s="235" t="s">
        <v>226</v>
      </c>
      <c r="C23" s="235" t="s">
        <v>366</v>
      </c>
      <c r="D23" s="235" t="s">
        <v>1080</v>
      </c>
      <c r="E23" s="235" t="s">
        <v>712</v>
      </c>
      <c r="F23" s="235" t="s">
        <v>971</v>
      </c>
      <c r="G23" s="771">
        <f>VLOOKUP($A23,'Contracts '!$A$2:$J$87,10,FALSE)</f>
        <v>0</v>
      </c>
      <c r="H23" s="773">
        <f>VLOOKUP(A23,'Contracts inf'!$A$3:$I$81,9,FALSE)</f>
        <v>0</v>
      </c>
      <c r="I23" s="774">
        <f t="shared" si="0"/>
        <v>0</v>
      </c>
      <c r="J23" s="325">
        <v>0.52</v>
      </c>
      <c r="K23" s="773">
        <f t="shared" si="1"/>
        <v>0</v>
      </c>
      <c r="L23" s="773">
        <f t="shared" si="2"/>
        <v>0</v>
      </c>
      <c r="M23" s="775">
        <f t="shared" si="3"/>
        <v>0</v>
      </c>
      <c r="N23" s="302">
        <v>0</v>
      </c>
      <c r="O23" s="303">
        <v>1</v>
      </c>
      <c r="P23" s="303">
        <v>0</v>
      </c>
      <c r="Q23" s="303">
        <v>0</v>
      </c>
      <c r="R23" s="303">
        <v>0</v>
      </c>
      <c r="S23" s="303">
        <v>0</v>
      </c>
      <c r="T23" s="303">
        <v>0</v>
      </c>
      <c r="U23" s="303">
        <v>0</v>
      </c>
      <c r="V23" s="298" t="str">
        <f t="shared" si="4"/>
        <v>ok</v>
      </c>
      <c r="W23" s="312" t="s">
        <v>713</v>
      </c>
      <c r="X23" s="778">
        <f>IF($W23="No",$M23*N23,$M23*N23*(1-'Policy Allocations'!G$7))</f>
        <v>0</v>
      </c>
      <c r="Y23" s="778">
        <f>IF($W23="No",$M23*O23,$M23*O23*(1-'Policy Allocations'!G$8))</f>
        <v>0</v>
      </c>
      <c r="Z23" s="778">
        <f>IF($W23="No",$M23*P23,$M23*P23*(1-'Policy Allocations'!G$9))</f>
        <v>0</v>
      </c>
      <c r="AA23" s="778">
        <f>IF($W23="No",$M23*Q23,$M23*Q23*(1-'Policy Allocations'!G$10))</f>
        <v>0</v>
      </c>
      <c r="AB23" s="778">
        <f>IF($W23="No",$M23*R23,$M23*R23*(1-'Policy Allocations'!G$11))</f>
        <v>0</v>
      </c>
      <c r="AC23" s="778">
        <f>IF($W23="No",$M23*S23,$M23*S23*(1-'Policy Allocations'!G$12))</f>
        <v>0</v>
      </c>
      <c r="AD23" s="778">
        <f>IF($W23="No",$M23*T23,$M23*T23*(1-'Policy Allocations'!G$13))</f>
        <v>0</v>
      </c>
      <c r="AE23" s="778">
        <f>IF($W23="No",$M23*U23,$M23*U23*(1-'Policy Allocations'!G$14))</f>
        <v>0</v>
      </c>
      <c r="AF23" s="778">
        <f t="shared" si="5"/>
        <v>0</v>
      </c>
      <c r="AG23" s="777">
        <f t="shared" si="6"/>
        <v>0</v>
      </c>
      <c r="AH23" s="232"/>
      <c r="AI23" s="5"/>
      <c r="AJ23" s="5"/>
    </row>
    <row r="24" spans="1:36" s="14" customFormat="1">
      <c r="A24" s="14" t="s">
        <v>646</v>
      </c>
      <c r="B24" s="235" t="s">
        <v>226</v>
      </c>
      <c r="C24" s="235" t="s">
        <v>783</v>
      </c>
      <c r="D24" s="235" t="s">
        <v>1074</v>
      </c>
      <c r="E24" s="235" t="s">
        <v>184</v>
      </c>
      <c r="F24" s="235" t="s">
        <v>645</v>
      </c>
      <c r="G24" s="771">
        <f>VLOOKUP($A24,'Contracts '!$A$2:$J$87,10,FALSE)</f>
        <v>0</v>
      </c>
      <c r="H24" s="773">
        <f>VLOOKUP(A24,'Contracts inf'!$A$3:$I$81,9,FALSE)</f>
        <v>0</v>
      </c>
      <c r="I24" s="774">
        <f t="shared" si="0"/>
        <v>0</v>
      </c>
      <c r="J24" s="325">
        <v>0.52</v>
      </c>
      <c r="K24" s="773">
        <f t="shared" si="1"/>
        <v>0</v>
      </c>
      <c r="L24" s="773">
        <f t="shared" si="2"/>
        <v>0</v>
      </c>
      <c r="M24" s="775">
        <f t="shared" si="3"/>
        <v>0</v>
      </c>
      <c r="N24" s="302">
        <v>0</v>
      </c>
      <c r="O24" s="303">
        <v>1</v>
      </c>
      <c r="P24" s="303">
        <v>0</v>
      </c>
      <c r="Q24" s="303">
        <v>0</v>
      </c>
      <c r="R24" s="303">
        <v>0</v>
      </c>
      <c r="S24" s="303">
        <v>0</v>
      </c>
      <c r="T24" s="303">
        <v>0</v>
      </c>
      <c r="U24" s="303">
        <v>0</v>
      </c>
      <c r="V24" s="298" t="str">
        <f t="shared" si="4"/>
        <v>ok</v>
      </c>
      <c r="W24" s="312" t="s">
        <v>713</v>
      </c>
      <c r="X24" s="778">
        <f>IF($W24="No",$M24*N24,$M24*N24*(1-'Policy Allocations'!G$7))</f>
        <v>0</v>
      </c>
      <c r="Y24" s="778">
        <f>IF($W24="No",$M24*O24,$M24*O24*(1-'Policy Allocations'!G$8))</f>
        <v>0</v>
      </c>
      <c r="Z24" s="778">
        <f>IF($W24="No",$M24*P24,$M24*P24*(1-'Policy Allocations'!G$9))</f>
        <v>0</v>
      </c>
      <c r="AA24" s="778">
        <f>IF($W24="No",$M24*Q24,$M24*Q24*(1-'Policy Allocations'!G$10))</f>
        <v>0</v>
      </c>
      <c r="AB24" s="778">
        <f>IF($W24="No",$M24*R24,$M24*R24*(1-'Policy Allocations'!G$11))</f>
        <v>0</v>
      </c>
      <c r="AC24" s="778">
        <f>IF($W24="No",$M24*S24,$M24*S24*(1-'Policy Allocations'!G$12))</f>
        <v>0</v>
      </c>
      <c r="AD24" s="778">
        <f>IF($W24="No",$M24*T24,$M24*T24*(1-'Policy Allocations'!G$13))</f>
        <v>0</v>
      </c>
      <c r="AE24" s="778">
        <f>IF($W24="No",$M24*U24,$M24*U24*(1-'Policy Allocations'!G$14))</f>
        <v>0</v>
      </c>
      <c r="AF24" s="778">
        <f t="shared" si="5"/>
        <v>0</v>
      </c>
      <c r="AG24" s="777">
        <f t="shared" si="6"/>
        <v>0</v>
      </c>
      <c r="AH24" s="232"/>
      <c r="AI24" s="5"/>
      <c r="AJ24" s="5"/>
    </row>
    <row r="25" spans="1:36" s="14" customFormat="1">
      <c r="A25" s="14" t="s">
        <v>221</v>
      </c>
      <c r="B25" s="235" t="s">
        <v>714</v>
      </c>
      <c r="C25" s="235" t="s">
        <v>475</v>
      </c>
      <c r="D25" s="235" t="s">
        <v>1081</v>
      </c>
      <c r="E25" s="235" t="s">
        <v>550</v>
      </c>
      <c r="F25" s="235" t="s">
        <v>747</v>
      </c>
      <c r="G25" s="771">
        <f>VLOOKUP($A25,'Contracts '!$A$2:$J$87,10,FALSE)</f>
        <v>0</v>
      </c>
      <c r="H25" s="773">
        <f>VLOOKUP(A25,'Contracts inf'!$A$3:$I$81,9,FALSE)</f>
        <v>0</v>
      </c>
      <c r="I25" s="774">
        <f t="shared" si="0"/>
        <v>0</v>
      </c>
      <c r="J25" s="325">
        <v>0.52</v>
      </c>
      <c r="K25" s="773">
        <f t="shared" si="1"/>
        <v>0</v>
      </c>
      <c r="L25" s="773">
        <f t="shared" si="2"/>
        <v>0</v>
      </c>
      <c r="M25" s="775">
        <f t="shared" si="3"/>
        <v>0</v>
      </c>
      <c r="N25" s="302">
        <v>0.5</v>
      </c>
      <c r="O25" s="303">
        <v>0.5</v>
      </c>
      <c r="P25" s="303">
        <v>0</v>
      </c>
      <c r="Q25" s="303">
        <v>0</v>
      </c>
      <c r="R25" s="303">
        <v>0</v>
      </c>
      <c r="S25" s="303">
        <v>0</v>
      </c>
      <c r="T25" s="303">
        <v>0</v>
      </c>
      <c r="U25" s="303">
        <v>0</v>
      </c>
      <c r="V25" s="298" t="str">
        <f t="shared" si="4"/>
        <v>ok</v>
      </c>
      <c r="W25" s="312" t="s">
        <v>713</v>
      </c>
      <c r="X25" s="778">
        <f>IF($W25="No",$M25*N25,$M25*N25*(1-'Policy Allocations'!G$7))</f>
        <v>0</v>
      </c>
      <c r="Y25" s="778">
        <f>IF($W25="No",$M25*O25,$M25*O25*(1-'Policy Allocations'!G$8))</f>
        <v>0</v>
      </c>
      <c r="Z25" s="778">
        <f>IF($W25="No",$M25*P25,$M25*P25*(1-'Policy Allocations'!G$9))</f>
        <v>0</v>
      </c>
      <c r="AA25" s="778">
        <f>IF($W25="No",$M25*Q25,$M25*Q25*(1-'Policy Allocations'!G$10))</f>
        <v>0</v>
      </c>
      <c r="AB25" s="778">
        <f>IF($W25="No",$M25*R25,$M25*R25*(1-'Policy Allocations'!G$11))</f>
        <v>0</v>
      </c>
      <c r="AC25" s="778">
        <f>IF($W25="No",$M25*S25,$M25*S25*(1-'Policy Allocations'!G$12))</f>
        <v>0</v>
      </c>
      <c r="AD25" s="778">
        <f>IF($W25="No",$M25*T25,$M25*T25*(1-'Policy Allocations'!G$13))</f>
        <v>0</v>
      </c>
      <c r="AE25" s="778">
        <f>IF($W25="No",$M25*U25,$M25*U25*(1-'Policy Allocations'!G$14))</f>
        <v>0</v>
      </c>
      <c r="AF25" s="778">
        <f t="shared" si="5"/>
        <v>0</v>
      </c>
      <c r="AG25" s="777">
        <f t="shared" si="6"/>
        <v>0</v>
      </c>
      <c r="AH25" s="232"/>
      <c r="AI25" s="5"/>
      <c r="AJ25" s="5"/>
    </row>
    <row r="26" spans="1:36" s="14" customFormat="1">
      <c r="A26" s="14" t="s">
        <v>222</v>
      </c>
      <c r="B26" s="235" t="s">
        <v>714</v>
      </c>
      <c r="C26" s="235" t="s">
        <v>475</v>
      </c>
      <c r="D26" s="235" t="s">
        <v>1081</v>
      </c>
      <c r="E26" s="235" t="s">
        <v>550</v>
      </c>
      <c r="F26" s="235" t="s">
        <v>748</v>
      </c>
      <c r="G26" s="771">
        <f>VLOOKUP($A26,'Contracts '!$A$2:$J$87,10,FALSE)</f>
        <v>0</v>
      </c>
      <c r="H26" s="773">
        <f>VLOOKUP(A26,'Contracts inf'!$A$3:$I$81,9,FALSE)</f>
        <v>0</v>
      </c>
      <c r="I26" s="774">
        <f t="shared" si="0"/>
        <v>0</v>
      </c>
      <c r="J26" s="325">
        <v>0.52</v>
      </c>
      <c r="K26" s="773">
        <f t="shared" si="1"/>
        <v>0</v>
      </c>
      <c r="L26" s="773">
        <f t="shared" si="2"/>
        <v>0</v>
      </c>
      <c r="M26" s="775">
        <f t="shared" si="3"/>
        <v>0</v>
      </c>
      <c r="N26" s="302">
        <v>0.5</v>
      </c>
      <c r="O26" s="303">
        <v>0.5</v>
      </c>
      <c r="P26" s="303">
        <v>0</v>
      </c>
      <c r="Q26" s="303">
        <v>0</v>
      </c>
      <c r="R26" s="303">
        <v>0</v>
      </c>
      <c r="S26" s="303">
        <v>0</v>
      </c>
      <c r="T26" s="303">
        <v>0</v>
      </c>
      <c r="U26" s="303">
        <v>0</v>
      </c>
      <c r="V26" s="298" t="str">
        <f t="shared" si="4"/>
        <v>ok</v>
      </c>
      <c r="W26" s="312" t="s">
        <v>713</v>
      </c>
      <c r="X26" s="778">
        <f>IF($W26="No",$M26*N26,$M26*N26*(1-'Policy Allocations'!G$7))</f>
        <v>0</v>
      </c>
      <c r="Y26" s="778">
        <f>IF($W26="No",$M26*O26,$M26*O26*(1-'Policy Allocations'!G$8))</f>
        <v>0</v>
      </c>
      <c r="Z26" s="778">
        <f>IF($W26="No",$M26*P26,$M26*P26*(1-'Policy Allocations'!G$9))</f>
        <v>0</v>
      </c>
      <c r="AA26" s="778">
        <f>IF($W26="No",$M26*Q26,$M26*Q26*(1-'Policy Allocations'!G$10))</f>
        <v>0</v>
      </c>
      <c r="AB26" s="778">
        <f>IF($W26="No",$M26*R26,$M26*R26*(1-'Policy Allocations'!G$11))</f>
        <v>0</v>
      </c>
      <c r="AC26" s="778">
        <f>IF($W26="No",$M26*S26,$M26*S26*(1-'Policy Allocations'!G$12))</f>
        <v>0</v>
      </c>
      <c r="AD26" s="778">
        <f>IF($W26="No",$M26*T26,$M26*T26*(1-'Policy Allocations'!G$13))</f>
        <v>0</v>
      </c>
      <c r="AE26" s="778">
        <f>IF($W26="No",$M26*U26,$M26*U26*(1-'Policy Allocations'!G$14))</f>
        <v>0</v>
      </c>
      <c r="AF26" s="778">
        <f t="shared" si="5"/>
        <v>0</v>
      </c>
      <c r="AG26" s="777">
        <f t="shared" si="6"/>
        <v>0</v>
      </c>
      <c r="AH26" s="232"/>
      <c r="AI26" s="5"/>
      <c r="AJ26" s="5"/>
    </row>
    <row r="27" spans="1:36" s="14" customFormat="1">
      <c r="A27" s="14" t="s">
        <v>223</v>
      </c>
      <c r="B27" s="235" t="s">
        <v>714</v>
      </c>
      <c r="C27" s="235" t="s">
        <v>475</v>
      </c>
      <c r="D27" s="235" t="s">
        <v>1081</v>
      </c>
      <c r="E27" s="235" t="s">
        <v>550</v>
      </c>
      <c r="F27" s="235" t="s">
        <v>1082</v>
      </c>
      <c r="G27" s="771">
        <f>VLOOKUP($A27,'Contracts '!$A$2:$J$87,10,FALSE)</f>
        <v>0</v>
      </c>
      <c r="H27" s="773">
        <f>VLOOKUP(A27,'Contracts inf'!$A$3:$I$81,9,FALSE)</f>
        <v>0</v>
      </c>
      <c r="I27" s="774">
        <f t="shared" si="0"/>
        <v>0</v>
      </c>
      <c r="J27" s="325">
        <v>0.52</v>
      </c>
      <c r="K27" s="773">
        <f t="shared" si="1"/>
        <v>0</v>
      </c>
      <c r="L27" s="773">
        <f t="shared" si="2"/>
        <v>0</v>
      </c>
      <c r="M27" s="775">
        <f t="shared" si="3"/>
        <v>0</v>
      </c>
      <c r="N27" s="302">
        <v>0.5</v>
      </c>
      <c r="O27" s="303">
        <v>0.5</v>
      </c>
      <c r="P27" s="303">
        <v>0</v>
      </c>
      <c r="Q27" s="303">
        <v>0</v>
      </c>
      <c r="R27" s="303">
        <v>0</v>
      </c>
      <c r="S27" s="303">
        <v>0</v>
      </c>
      <c r="T27" s="303">
        <v>0</v>
      </c>
      <c r="U27" s="303">
        <v>0</v>
      </c>
      <c r="V27" s="298" t="str">
        <f t="shared" si="4"/>
        <v>ok</v>
      </c>
      <c r="W27" s="312" t="s">
        <v>713</v>
      </c>
      <c r="X27" s="778">
        <f>IF($W27="No",$M27*N27,$M27*N27*(1-'Policy Allocations'!G$7))</f>
        <v>0</v>
      </c>
      <c r="Y27" s="778">
        <f>IF($W27="No",$M27*O27,$M27*O27*(1-'Policy Allocations'!G$8))</f>
        <v>0</v>
      </c>
      <c r="Z27" s="778">
        <f>IF($W27="No",$M27*P27,$M27*P27*(1-'Policy Allocations'!G$9))</f>
        <v>0</v>
      </c>
      <c r="AA27" s="778">
        <f>IF($W27="No",$M27*Q27,$M27*Q27*(1-'Policy Allocations'!G$10))</f>
        <v>0</v>
      </c>
      <c r="AB27" s="778">
        <f>IF($W27="No",$M27*R27,$M27*R27*(1-'Policy Allocations'!G$11))</f>
        <v>0</v>
      </c>
      <c r="AC27" s="778">
        <f>IF($W27="No",$M27*S27,$M27*S27*(1-'Policy Allocations'!G$12))</f>
        <v>0</v>
      </c>
      <c r="AD27" s="778">
        <f>IF($W27="No",$M27*T27,$M27*T27*(1-'Policy Allocations'!G$13))</f>
        <v>0</v>
      </c>
      <c r="AE27" s="778">
        <f>IF($W27="No",$M27*U27,$M27*U27*(1-'Policy Allocations'!G$14))</f>
        <v>0</v>
      </c>
      <c r="AF27" s="778">
        <f t="shared" si="5"/>
        <v>0</v>
      </c>
      <c r="AG27" s="777">
        <f t="shared" si="6"/>
        <v>0</v>
      </c>
      <c r="AH27" s="232"/>
      <c r="AI27" s="5"/>
      <c r="AJ27" s="5"/>
    </row>
    <row r="28" spans="1:36" s="14" customFormat="1">
      <c r="A28" s="14" t="s">
        <v>642</v>
      </c>
      <c r="B28" s="235" t="s">
        <v>780</v>
      </c>
      <c r="C28" s="235" t="s">
        <v>618</v>
      </c>
      <c r="D28" s="235" t="s">
        <v>1083</v>
      </c>
      <c r="E28" s="235" t="s">
        <v>822</v>
      </c>
      <c r="F28" s="235" t="s">
        <v>1084</v>
      </c>
      <c r="G28" s="771">
        <f>VLOOKUP($A28,'Contracts '!$A$2:$J$87,10,FALSE)</f>
        <v>0</v>
      </c>
      <c r="H28" s="773">
        <f>VLOOKUP(A28,'Contracts inf'!$A$3:$I$81,9,FALSE)</f>
        <v>0</v>
      </c>
      <c r="I28" s="774">
        <f t="shared" si="0"/>
        <v>0</v>
      </c>
      <c r="J28" s="325">
        <v>0.52</v>
      </c>
      <c r="K28" s="773">
        <f t="shared" si="1"/>
        <v>0</v>
      </c>
      <c r="L28" s="773">
        <f t="shared" si="2"/>
        <v>0</v>
      </c>
      <c r="M28" s="775">
        <f t="shared" si="3"/>
        <v>0</v>
      </c>
      <c r="N28" s="302">
        <v>0</v>
      </c>
      <c r="O28" s="303">
        <v>0</v>
      </c>
      <c r="P28" s="303">
        <v>0</v>
      </c>
      <c r="Q28" s="303">
        <v>0</v>
      </c>
      <c r="R28" s="303">
        <v>1</v>
      </c>
      <c r="S28" s="303">
        <v>0</v>
      </c>
      <c r="T28" s="303">
        <v>0</v>
      </c>
      <c r="U28" s="303">
        <v>0</v>
      </c>
      <c r="V28" s="298" t="str">
        <f t="shared" si="4"/>
        <v>ok</v>
      </c>
      <c r="W28" s="312" t="s">
        <v>706</v>
      </c>
      <c r="X28" s="778">
        <f>IF($W28="No",$M28*N28,$M28*N28*(1-'Policy Allocations'!G$7))</f>
        <v>0</v>
      </c>
      <c r="Y28" s="778">
        <f>IF($W28="No",$M28*O28,$M28*O28*(1-'Policy Allocations'!G$8))</f>
        <v>0</v>
      </c>
      <c r="Z28" s="778">
        <f>IF($W28="No",$M28*P28,$M28*P28*(1-'Policy Allocations'!G$9))</f>
        <v>0</v>
      </c>
      <c r="AA28" s="778">
        <f>IF($W28="No",$M28*Q28,$M28*Q28*(1-'Policy Allocations'!G$10))</f>
        <v>0</v>
      </c>
      <c r="AB28" s="778">
        <f>IF($W28="No",$M28*R28,$M28*R28*(1-'Policy Allocations'!G$11))</f>
        <v>0</v>
      </c>
      <c r="AC28" s="778">
        <f>IF($W28="No",$M28*S28,$M28*S28*(1-'Policy Allocations'!G$12))</f>
        <v>0</v>
      </c>
      <c r="AD28" s="778">
        <f>IF($W28="No",$M28*T28,$M28*T28*(1-'Policy Allocations'!G$13))</f>
        <v>0</v>
      </c>
      <c r="AE28" s="778">
        <f>IF($W28="No",$M28*U28,$M28*U28*(1-'Policy Allocations'!G$14))</f>
        <v>0</v>
      </c>
      <c r="AF28" s="778">
        <f t="shared" si="5"/>
        <v>0</v>
      </c>
      <c r="AG28" s="777">
        <f t="shared" si="6"/>
        <v>0</v>
      </c>
      <c r="AH28" s="232"/>
      <c r="AI28" s="5"/>
      <c r="AJ28" s="5"/>
    </row>
    <row r="29" spans="1:36" s="14" customFormat="1">
      <c r="A29" s="14" t="s">
        <v>1126</v>
      </c>
      <c r="B29" s="235" t="s">
        <v>780</v>
      </c>
      <c r="C29" s="235" t="s">
        <v>618</v>
      </c>
      <c r="D29" s="235" t="s">
        <v>1083</v>
      </c>
      <c r="E29" s="235" t="s">
        <v>822</v>
      </c>
      <c r="F29" s="235" t="s">
        <v>1125</v>
      </c>
      <c r="G29" s="771">
        <f>VLOOKUP($A29,'Contracts '!$A$2:$J$87,10,FALSE)</f>
        <v>0</v>
      </c>
      <c r="H29" s="773">
        <v>0</v>
      </c>
      <c r="I29" s="774">
        <f t="shared" ref="I29" si="11">SUM(G29:H29)</f>
        <v>0</v>
      </c>
      <c r="J29" s="325">
        <v>0.52</v>
      </c>
      <c r="K29" s="773">
        <f t="shared" ref="K29" si="12">I29*(1-J29)</f>
        <v>0</v>
      </c>
      <c r="L29" s="773">
        <f t="shared" si="2"/>
        <v>0</v>
      </c>
      <c r="M29" s="775">
        <f t="shared" ref="M29" si="13">SUM(K29:L29)</f>
        <v>0</v>
      </c>
      <c r="N29" s="302">
        <v>0</v>
      </c>
      <c r="O29" s="303">
        <v>0</v>
      </c>
      <c r="P29" s="303">
        <v>0</v>
      </c>
      <c r="Q29" s="303">
        <v>0</v>
      </c>
      <c r="R29" s="303">
        <v>1</v>
      </c>
      <c r="S29" s="303">
        <v>0</v>
      </c>
      <c r="T29" s="303">
        <v>0</v>
      </c>
      <c r="U29" s="303">
        <v>0</v>
      </c>
      <c r="V29" s="298" t="str">
        <f t="shared" ref="V29" si="14">IF(SUM(N29:U29)&lt;&gt;1,"error","ok")</f>
        <v>ok</v>
      </c>
      <c r="W29" s="312" t="s">
        <v>706</v>
      </c>
      <c r="X29" s="778">
        <f>IF($W29="No",$M29*N29,$M29*N29*(1-'Policy Allocations'!G$7))</f>
        <v>0</v>
      </c>
      <c r="Y29" s="778">
        <f>IF($W29="No",$M29*O29,$M29*O29*(1-'Policy Allocations'!G$8))</f>
        <v>0</v>
      </c>
      <c r="Z29" s="778">
        <f>IF($W29="No",$M29*P29,$M29*P29*(1-'Policy Allocations'!G$9))</f>
        <v>0</v>
      </c>
      <c r="AA29" s="778">
        <f>IF($W29="No",$M29*Q29,$M29*Q29*(1-'Policy Allocations'!G$10))</f>
        <v>0</v>
      </c>
      <c r="AB29" s="778">
        <f>IF($W29="No",$M29*R29,$M29*R29*(1-'Policy Allocations'!G$11))</f>
        <v>0</v>
      </c>
      <c r="AC29" s="778">
        <f>IF($W29="No",$M29*S29,$M29*S29*(1-'Policy Allocations'!G$12))</f>
        <v>0</v>
      </c>
      <c r="AD29" s="778">
        <f>IF($W29="No",$M29*T29,$M29*T29*(1-'Policy Allocations'!G$13))</f>
        <v>0</v>
      </c>
      <c r="AE29" s="778">
        <f>IF($W29="No",$M29*U29,$M29*U29*(1-'Policy Allocations'!G$14))</f>
        <v>0</v>
      </c>
      <c r="AF29" s="778">
        <f t="shared" ref="AF29" si="15">M29-SUM(X29:AE29)</f>
        <v>0</v>
      </c>
      <c r="AG29" s="777">
        <f t="shared" ref="AG29" si="16">SUM(X29:AF29)</f>
        <v>0</v>
      </c>
      <c r="AH29" s="232"/>
      <c r="AI29" s="5"/>
      <c r="AJ29" s="5"/>
    </row>
    <row r="30" spans="1:36" s="14" customFormat="1">
      <c r="A30" s="14" t="s">
        <v>186</v>
      </c>
      <c r="B30" s="235" t="s">
        <v>185</v>
      </c>
      <c r="C30" s="235" t="s">
        <v>725</v>
      </c>
      <c r="D30" s="235" t="s">
        <v>1083</v>
      </c>
      <c r="E30" s="235" t="s">
        <v>822</v>
      </c>
      <c r="F30" s="235" t="s">
        <v>137</v>
      </c>
      <c r="G30" s="771">
        <f>VLOOKUP($A30,'Contracts '!$A$2:$J$87,10,FALSE)</f>
        <v>0</v>
      </c>
      <c r="H30" s="773">
        <f>VLOOKUP(A30,'Contracts inf'!$A$3:$I$81,9,FALSE)</f>
        <v>0</v>
      </c>
      <c r="I30" s="774">
        <f t="shared" si="0"/>
        <v>0</v>
      </c>
      <c r="J30" s="325">
        <v>0.52</v>
      </c>
      <c r="K30" s="773">
        <f t="shared" si="1"/>
        <v>0</v>
      </c>
      <c r="L30" s="773">
        <f t="shared" si="2"/>
        <v>0</v>
      </c>
      <c r="M30" s="775">
        <f t="shared" si="3"/>
        <v>0</v>
      </c>
      <c r="N30" s="302">
        <v>0</v>
      </c>
      <c r="O30" s="303">
        <v>0</v>
      </c>
      <c r="P30" s="303">
        <v>0</v>
      </c>
      <c r="Q30" s="303">
        <v>0</v>
      </c>
      <c r="R30" s="303">
        <v>1</v>
      </c>
      <c r="S30" s="303">
        <v>0</v>
      </c>
      <c r="T30" s="303">
        <v>0</v>
      </c>
      <c r="U30" s="303">
        <v>0</v>
      </c>
      <c r="V30" s="298" t="str">
        <f t="shared" si="4"/>
        <v>ok</v>
      </c>
      <c r="W30" s="312" t="s">
        <v>706</v>
      </c>
      <c r="X30" s="778">
        <f>IF($W30="No",$M30*N30,$M30*N30*(1-'Policy Allocations'!G$7))</f>
        <v>0</v>
      </c>
      <c r="Y30" s="778">
        <f>IF($W30="No",$M30*O30,$M30*O30*(1-'Policy Allocations'!G$8))</f>
        <v>0</v>
      </c>
      <c r="Z30" s="778">
        <f>IF($W30="No",$M30*P30,$M30*P30*(1-'Policy Allocations'!G$9))</f>
        <v>0</v>
      </c>
      <c r="AA30" s="778">
        <f>IF($W30="No",$M30*Q30,$M30*Q30*(1-'Policy Allocations'!G$10))</f>
        <v>0</v>
      </c>
      <c r="AB30" s="778">
        <f>IF($W30="No",$M30*R30,$M30*R30*(1-'Policy Allocations'!G$11))</f>
        <v>0</v>
      </c>
      <c r="AC30" s="778">
        <f>IF($W30="No",$M30*S30,$M30*S30*(1-'Policy Allocations'!G$12))</f>
        <v>0</v>
      </c>
      <c r="AD30" s="778">
        <f>IF($W30="No",$M30*T30,$M30*T30*(1-'Policy Allocations'!G$13))</f>
        <v>0</v>
      </c>
      <c r="AE30" s="778">
        <f>IF($W30="No",$M30*U30,$M30*U30*(1-'Policy Allocations'!G$14))</f>
        <v>0</v>
      </c>
      <c r="AF30" s="778">
        <f t="shared" si="5"/>
        <v>0</v>
      </c>
      <c r="AG30" s="777">
        <f t="shared" si="6"/>
        <v>0</v>
      </c>
      <c r="AH30" s="232"/>
      <c r="AI30" s="5"/>
      <c r="AJ30" s="5"/>
    </row>
    <row r="31" spans="1:36" s="14" customFormat="1">
      <c r="A31" s="14" t="s">
        <v>187</v>
      </c>
      <c r="B31" s="235" t="s">
        <v>185</v>
      </c>
      <c r="C31" s="235" t="s">
        <v>734</v>
      </c>
      <c r="D31" s="235" t="s">
        <v>1083</v>
      </c>
      <c r="E31" s="235" t="s">
        <v>822</v>
      </c>
      <c r="F31" s="235" t="s">
        <v>138</v>
      </c>
      <c r="G31" s="771">
        <f>VLOOKUP($A31,'Contracts '!$A$2:$J$87,10,FALSE)</f>
        <v>0</v>
      </c>
      <c r="H31" s="773">
        <f>VLOOKUP(A31,'Contracts inf'!$A$3:$I$81,9,FALSE)</f>
        <v>0</v>
      </c>
      <c r="I31" s="774">
        <f t="shared" si="0"/>
        <v>0</v>
      </c>
      <c r="J31" s="325">
        <v>0.52</v>
      </c>
      <c r="K31" s="773">
        <f t="shared" si="1"/>
        <v>0</v>
      </c>
      <c r="L31" s="773">
        <f t="shared" si="2"/>
        <v>0</v>
      </c>
      <c r="M31" s="775">
        <f t="shared" si="3"/>
        <v>0</v>
      </c>
      <c r="N31" s="302">
        <v>0</v>
      </c>
      <c r="O31" s="303">
        <v>0</v>
      </c>
      <c r="P31" s="303">
        <v>0</v>
      </c>
      <c r="Q31" s="303">
        <v>0</v>
      </c>
      <c r="R31" s="333">
        <v>1</v>
      </c>
      <c r="S31" s="303">
        <v>0</v>
      </c>
      <c r="T31" s="303">
        <v>0</v>
      </c>
      <c r="U31" s="303">
        <v>0</v>
      </c>
      <c r="V31" s="298" t="str">
        <f t="shared" si="4"/>
        <v>ok</v>
      </c>
      <c r="W31" s="312" t="s">
        <v>706</v>
      </c>
      <c r="X31" s="778">
        <f>IF($W31="No",$M31*N31,$M31*N31*(1-'Policy Allocations'!G$7))</f>
        <v>0</v>
      </c>
      <c r="Y31" s="778">
        <f>IF($W31="No",$M31*O31,$M31*O31*(1-'Policy Allocations'!G$8))</f>
        <v>0</v>
      </c>
      <c r="Z31" s="778">
        <f>IF($W31="No",$M31*P31,$M31*P31*(1-'Policy Allocations'!G$9))</f>
        <v>0</v>
      </c>
      <c r="AA31" s="778">
        <f>IF($W31="No",$M31*Q31,$M31*Q31*(1-'Policy Allocations'!G$10))</f>
        <v>0</v>
      </c>
      <c r="AB31" s="778">
        <f>IF($W31="No",$M31*R31,$M31*R31*(1-'Policy Allocations'!G$11))</f>
        <v>0</v>
      </c>
      <c r="AC31" s="778">
        <f>IF($W31="No",$M31*S31,$M31*S31*(1-'Policy Allocations'!G$12))</f>
        <v>0</v>
      </c>
      <c r="AD31" s="778">
        <f>IF($W31="No",$M31*T31,$M31*T31*(1-'Policy Allocations'!G$13))</f>
        <v>0</v>
      </c>
      <c r="AE31" s="778">
        <f>IF($W31="No",$M31*U31,$M31*U31*(1-'Policy Allocations'!G$14))</f>
        <v>0</v>
      </c>
      <c r="AF31" s="778">
        <f t="shared" si="5"/>
        <v>0</v>
      </c>
      <c r="AG31" s="777">
        <f t="shared" si="6"/>
        <v>0</v>
      </c>
      <c r="AH31" s="232"/>
      <c r="AI31" s="5"/>
      <c r="AJ31" s="5"/>
    </row>
    <row r="32" spans="1:36" s="14" customFormat="1">
      <c r="A32" s="14" t="s">
        <v>188</v>
      </c>
      <c r="B32" s="235" t="s">
        <v>185</v>
      </c>
      <c r="C32" s="235" t="s">
        <v>472</v>
      </c>
      <c r="D32" s="235" t="s">
        <v>1085</v>
      </c>
      <c r="E32" s="235" t="s">
        <v>737</v>
      </c>
      <c r="F32" s="235" t="s">
        <v>1086</v>
      </c>
      <c r="G32" s="771">
        <f>VLOOKUP($A32,'Contracts '!$A$2:$J$87,10,FALSE)</f>
        <v>0</v>
      </c>
      <c r="H32" s="773">
        <f>VLOOKUP(A32,'Contracts inf'!$A$3:$I$81,9,FALSE)</f>
        <v>0</v>
      </c>
      <c r="I32" s="774">
        <f t="shared" si="0"/>
        <v>0</v>
      </c>
      <c r="J32" s="325">
        <v>0.52</v>
      </c>
      <c r="K32" s="773">
        <f t="shared" si="1"/>
        <v>0</v>
      </c>
      <c r="L32" s="773">
        <f t="shared" si="2"/>
        <v>0</v>
      </c>
      <c r="M32" s="775">
        <f t="shared" si="3"/>
        <v>0</v>
      </c>
      <c r="N32" s="302">
        <v>0.3</v>
      </c>
      <c r="O32" s="303">
        <v>0</v>
      </c>
      <c r="P32" s="303">
        <v>0</v>
      </c>
      <c r="Q32" s="303">
        <v>0.7</v>
      </c>
      <c r="R32" s="303">
        <v>0</v>
      </c>
      <c r="S32" s="303">
        <v>0</v>
      </c>
      <c r="T32" s="303">
        <v>0</v>
      </c>
      <c r="U32" s="303">
        <v>0</v>
      </c>
      <c r="V32" s="298" t="str">
        <f t="shared" si="4"/>
        <v>ok</v>
      </c>
      <c r="W32" s="312" t="s">
        <v>713</v>
      </c>
      <c r="X32" s="778">
        <f>IF($W32="No",$M32*N32,$M32*N32*(1-'Policy Allocations'!G$7))</f>
        <v>0</v>
      </c>
      <c r="Y32" s="778">
        <f>IF($W32="No",$M32*O32,$M32*O32*(1-'Policy Allocations'!G$8))</f>
        <v>0</v>
      </c>
      <c r="Z32" s="778">
        <f>IF($W32="No",$M32*P32,$M32*P32*(1-'Policy Allocations'!G$9))</f>
        <v>0</v>
      </c>
      <c r="AA32" s="778">
        <f>IF($W32="No",$M32*Q32,$M32*Q32*(1-'Policy Allocations'!G$10))</f>
        <v>0</v>
      </c>
      <c r="AB32" s="778">
        <f>IF($W32="No",$M32*R32,$M32*R32*(1-'Policy Allocations'!G$11))</f>
        <v>0</v>
      </c>
      <c r="AC32" s="778">
        <f>IF($W32="No",$M32*S32,$M32*S32*(1-'Policy Allocations'!G$12))</f>
        <v>0</v>
      </c>
      <c r="AD32" s="778">
        <f>IF($W32="No",$M32*T32,$M32*T32*(1-'Policy Allocations'!G$13))</f>
        <v>0</v>
      </c>
      <c r="AE32" s="778">
        <f>IF($W32="No",$M32*U32,$M32*U32*(1-'Policy Allocations'!G$14))</f>
        <v>0</v>
      </c>
      <c r="AF32" s="778">
        <f t="shared" si="5"/>
        <v>0</v>
      </c>
      <c r="AG32" s="777">
        <f t="shared" si="6"/>
        <v>0</v>
      </c>
      <c r="AH32" s="232"/>
      <c r="AI32" s="5"/>
      <c r="AJ32" s="5"/>
    </row>
    <row r="33" spans="1:36" s="14" customFormat="1">
      <c r="A33" s="14" t="s">
        <v>189</v>
      </c>
      <c r="B33" s="235" t="s">
        <v>185</v>
      </c>
      <c r="C33" s="235" t="s">
        <v>721</v>
      </c>
      <c r="D33" s="235" t="s">
        <v>1085</v>
      </c>
      <c r="E33" s="235" t="s">
        <v>737</v>
      </c>
      <c r="F33" s="235" t="s">
        <v>1087</v>
      </c>
      <c r="G33" s="771">
        <f>VLOOKUP($A33,'Contracts '!$A$2:$J$87,10,FALSE)</f>
        <v>0</v>
      </c>
      <c r="H33" s="773">
        <f>VLOOKUP(A33,'Contracts inf'!$A$3:$I$81,9,FALSE)</f>
        <v>0</v>
      </c>
      <c r="I33" s="774">
        <f t="shared" si="0"/>
        <v>0</v>
      </c>
      <c r="J33" s="325">
        <v>0.52</v>
      </c>
      <c r="K33" s="773">
        <f t="shared" si="1"/>
        <v>0</v>
      </c>
      <c r="L33" s="773">
        <f t="shared" si="2"/>
        <v>0</v>
      </c>
      <c r="M33" s="775">
        <f t="shared" si="3"/>
        <v>0</v>
      </c>
      <c r="N33" s="302">
        <v>0</v>
      </c>
      <c r="O33" s="303">
        <v>0</v>
      </c>
      <c r="P33" s="303">
        <v>0</v>
      </c>
      <c r="Q33" s="303">
        <v>1</v>
      </c>
      <c r="R33" s="303">
        <v>0</v>
      </c>
      <c r="S33" s="303">
        <v>0</v>
      </c>
      <c r="T33" s="303">
        <v>0</v>
      </c>
      <c r="U33" s="303">
        <v>0</v>
      </c>
      <c r="V33" s="298" t="str">
        <f t="shared" si="4"/>
        <v>ok</v>
      </c>
      <c r="W33" s="312" t="s">
        <v>706</v>
      </c>
      <c r="X33" s="778">
        <f>IF($W33="No",$M33*N33,$M33*N33*(1-'Policy Allocations'!G$7))</f>
        <v>0</v>
      </c>
      <c r="Y33" s="778">
        <f>IF($W33="No",$M33*O33,$M33*O33*(1-'Policy Allocations'!G$8))</f>
        <v>0</v>
      </c>
      <c r="Z33" s="778">
        <f>IF($W33="No",$M33*P33,$M33*P33*(1-'Policy Allocations'!G$9))</f>
        <v>0</v>
      </c>
      <c r="AA33" s="778">
        <f>IF($W33="No",$M33*Q33,$M33*Q33*(1-'Policy Allocations'!G$10))</f>
        <v>0</v>
      </c>
      <c r="AB33" s="778">
        <f>IF($W33="No",$M33*R33,$M33*R33*(1-'Policy Allocations'!G$11))</f>
        <v>0</v>
      </c>
      <c r="AC33" s="778">
        <f>IF($W33="No",$M33*S33,$M33*S33*(1-'Policy Allocations'!G$12))</f>
        <v>0</v>
      </c>
      <c r="AD33" s="778">
        <f>IF($W33="No",$M33*T33,$M33*T33*(1-'Policy Allocations'!G$13))</f>
        <v>0</v>
      </c>
      <c r="AE33" s="778">
        <f>IF($W33="No",$M33*U33,$M33*U33*(1-'Policy Allocations'!G$14))</f>
        <v>0</v>
      </c>
      <c r="AF33" s="778">
        <f t="shared" si="5"/>
        <v>0</v>
      </c>
      <c r="AG33" s="777">
        <f t="shared" si="6"/>
        <v>0</v>
      </c>
      <c r="AH33" s="232"/>
      <c r="AI33" s="5"/>
      <c r="AJ33" s="5"/>
    </row>
    <row r="34" spans="1:36" s="14" customFormat="1">
      <c r="A34" s="14" t="s">
        <v>190</v>
      </c>
      <c r="B34" s="235" t="s">
        <v>185</v>
      </c>
      <c r="C34" s="235" t="s">
        <v>724</v>
      </c>
      <c r="D34" s="235" t="s">
        <v>1085</v>
      </c>
      <c r="E34" s="235" t="s">
        <v>737</v>
      </c>
      <c r="F34" s="235" t="s">
        <v>1088</v>
      </c>
      <c r="G34" s="771">
        <f>VLOOKUP($A34,'Contracts '!$A$2:$J$87,10,FALSE)</f>
        <v>0</v>
      </c>
      <c r="H34" s="773">
        <f>VLOOKUP(A34,'Contracts inf'!$A$3:$I$81,9,FALSE)</f>
        <v>0</v>
      </c>
      <c r="I34" s="774">
        <f t="shared" si="0"/>
        <v>0</v>
      </c>
      <c r="J34" s="325">
        <v>0.52</v>
      </c>
      <c r="K34" s="773">
        <f t="shared" si="1"/>
        <v>0</v>
      </c>
      <c r="L34" s="773">
        <f t="shared" si="2"/>
        <v>0</v>
      </c>
      <c r="M34" s="775">
        <f t="shared" si="3"/>
        <v>0</v>
      </c>
      <c r="N34" s="302">
        <v>0</v>
      </c>
      <c r="O34" s="303">
        <v>0</v>
      </c>
      <c r="P34" s="303">
        <v>0</v>
      </c>
      <c r="Q34" s="303">
        <v>1</v>
      </c>
      <c r="R34" s="303">
        <v>0</v>
      </c>
      <c r="S34" s="303">
        <v>0</v>
      </c>
      <c r="T34" s="303">
        <v>0</v>
      </c>
      <c r="U34" s="303">
        <v>0</v>
      </c>
      <c r="V34" s="298" t="str">
        <f t="shared" si="4"/>
        <v>ok</v>
      </c>
      <c r="W34" s="312" t="s">
        <v>706</v>
      </c>
      <c r="X34" s="778">
        <f>IF($W34="No",$M34*N34,$M34*N34*(1-'Policy Allocations'!G$7))</f>
        <v>0</v>
      </c>
      <c r="Y34" s="778">
        <f>IF($W34="No",$M34*O34,$M34*O34*(1-'Policy Allocations'!G$8))</f>
        <v>0</v>
      </c>
      <c r="Z34" s="778">
        <f>IF($W34="No",$M34*P34,$M34*P34*(1-'Policy Allocations'!G$9))</f>
        <v>0</v>
      </c>
      <c r="AA34" s="778">
        <f>IF($W34="No",$M34*Q34,$M34*Q34*(1-'Policy Allocations'!G$10))</f>
        <v>0</v>
      </c>
      <c r="AB34" s="778">
        <f>IF($W34="No",$M34*R34,$M34*R34*(1-'Policy Allocations'!G$11))</f>
        <v>0</v>
      </c>
      <c r="AC34" s="778">
        <f>IF($W34="No",$M34*S34,$M34*S34*(1-'Policy Allocations'!G$12))</f>
        <v>0</v>
      </c>
      <c r="AD34" s="778">
        <f>IF($W34="No",$M34*T34,$M34*T34*(1-'Policy Allocations'!G$13))</f>
        <v>0</v>
      </c>
      <c r="AE34" s="778">
        <f>IF($W34="No",$M34*U34,$M34*U34*(1-'Policy Allocations'!G$14))</f>
        <v>0</v>
      </c>
      <c r="AF34" s="778">
        <f t="shared" si="5"/>
        <v>0</v>
      </c>
      <c r="AG34" s="777">
        <f t="shared" si="6"/>
        <v>0</v>
      </c>
      <c r="AH34" s="232"/>
      <c r="AI34" s="5"/>
      <c r="AJ34" s="5"/>
    </row>
    <row r="35" spans="1:36" s="14" customFormat="1">
      <c r="A35" s="236" t="s">
        <v>193</v>
      </c>
      <c r="B35" s="235" t="s">
        <v>185</v>
      </c>
      <c r="C35" s="235" t="s">
        <v>723</v>
      </c>
      <c r="D35" s="235" t="s">
        <v>1089</v>
      </c>
      <c r="E35" s="235" t="s">
        <v>192</v>
      </c>
      <c r="F35" s="235" t="s">
        <v>1090</v>
      </c>
      <c r="G35" s="771">
        <f>VLOOKUP($A35,'Contracts '!$A$2:$J$87,10,FALSE)</f>
        <v>0</v>
      </c>
      <c r="H35" s="773">
        <f>VLOOKUP(A35,'Contracts inf'!$A$3:$I$81,9,FALSE)</f>
        <v>0</v>
      </c>
      <c r="I35" s="774">
        <f t="shared" si="0"/>
        <v>0</v>
      </c>
      <c r="J35" s="325">
        <v>0.52</v>
      </c>
      <c r="K35" s="773">
        <f t="shared" si="1"/>
        <v>0</v>
      </c>
      <c r="L35" s="773">
        <f t="shared" si="2"/>
        <v>0</v>
      </c>
      <c r="M35" s="775">
        <f t="shared" si="3"/>
        <v>0</v>
      </c>
      <c r="N35" s="302">
        <v>0.5</v>
      </c>
      <c r="O35" s="303">
        <v>0</v>
      </c>
      <c r="P35" s="303">
        <v>0</v>
      </c>
      <c r="Q35" s="303">
        <v>0.5</v>
      </c>
      <c r="R35" s="303">
        <v>0</v>
      </c>
      <c r="S35" s="303">
        <v>0</v>
      </c>
      <c r="T35" s="303">
        <v>0</v>
      </c>
      <c r="U35" s="303">
        <v>0</v>
      </c>
      <c r="V35" s="298" t="str">
        <f t="shared" si="4"/>
        <v>ok</v>
      </c>
      <c r="W35" s="312" t="s">
        <v>706</v>
      </c>
      <c r="X35" s="778">
        <f>IF($W35="No",$M35*N35,$M35*N35*(1-'Policy Allocations'!G$7))</f>
        <v>0</v>
      </c>
      <c r="Y35" s="778">
        <f>IF($W35="No",$M35*O35,$M35*O35*(1-'Policy Allocations'!G$8))</f>
        <v>0</v>
      </c>
      <c r="Z35" s="778">
        <f>IF($W35="No",$M35*P35,$M35*P35*(1-'Policy Allocations'!G$9))</f>
        <v>0</v>
      </c>
      <c r="AA35" s="778">
        <f>IF($W35="No",$M35*Q35,$M35*Q35*(1-'Policy Allocations'!G$10))</f>
        <v>0</v>
      </c>
      <c r="AB35" s="778">
        <f>IF($W35="No",$M35*R35,$M35*R35*(1-'Policy Allocations'!G$11))</f>
        <v>0</v>
      </c>
      <c r="AC35" s="778">
        <f>IF($W35="No",$M35*S35,$M35*S35*(1-'Policy Allocations'!G$12))</f>
        <v>0</v>
      </c>
      <c r="AD35" s="778">
        <f>IF($W35="No",$M35*T35,$M35*T35*(1-'Policy Allocations'!G$13))</f>
        <v>0</v>
      </c>
      <c r="AE35" s="778">
        <f>IF($W35="No",$M35*U35,$M35*U35*(1-'Policy Allocations'!G$14))</f>
        <v>0</v>
      </c>
      <c r="AF35" s="778">
        <f t="shared" si="5"/>
        <v>0</v>
      </c>
      <c r="AG35" s="777">
        <f t="shared" si="6"/>
        <v>0</v>
      </c>
      <c r="AH35" s="232"/>
      <c r="AI35" s="5"/>
      <c r="AJ35" s="5"/>
    </row>
    <row r="36" spans="1:36" s="14" customFormat="1">
      <c r="A36" s="236" t="s">
        <v>194</v>
      </c>
      <c r="B36" s="235" t="s">
        <v>185</v>
      </c>
      <c r="C36" s="235" t="s">
        <v>726</v>
      </c>
      <c r="D36" s="235" t="s">
        <v>1089</v>
      </c>
      <c r="E36" s="235" t="s">
        <v>192</v>
      </c>
      <c r="F36" s="235" t="s">
        <v>759</v>
      </c>
      <c r="G36" s="771">
        <f>VLOOKUP($A36,'Contracts '!$A$2:$J$87,10,FALSE)</f>
        <v>0</v>
      </c>
      <c r="H36" s="773">
        <f>VLOOKUP(A36,'Contracts inf'!$A$3:$I$81,9,FALSE)</f>
        <v>0</v>
      </c>
      <c r="I36" s="774">
        <f t="shared" si="0"/>
        <v>0</v>
      </c>
      <c r="J36" s="325">
        <v>0.52</v>
      </c>
      <c r="K36" s="773">
        <f t="shared" si="1"/>
        <v>0</v>
      </c>
      <c r="L36" s="773">
        <f t="shared" si="2"/>
        <v>0</v>
      </c>
      <c r="M36" s="775">
        <f t="shared" si="3"/>
        <v>0</v>
      </c>
      <c r="N36" s="302">
        <v>1</v>
      </c>
      <c r="O36" s="303">
        <v>0</v>
      </c>
      <c r="P36" s="303">
        <v>0</v>
      </c>
      <c r="Q36" s="303">
        <v>0</v>
      </c>
      <c r="R36" s="303">
        <v>0</v>
      </c>
      <c r="S36" s="303">
        <v>0</v>
      </c>
      <c r="T36" s="303">
        <v>0</v>
      </c>
      <c r="U36" s="303">
        <v>0</v>
      </c>
      <c r="V36" s="298" t="str">
        <f t="shared" si="4"/>
        <v>ok</v>
      </c>
      <c r="W36" s="312" t="s">
        <v>713</v>
      </c>
      <c r="X36" s="778">
        <f>IF($W36="No",$M36*N36,$M36*N36*(1-'Policy Allocations'!G$7))</f>
        <v>0</v>
      </c>
      <c r="Y36" s="778">
        <f>IF($W36="No",$M36*O36,$M36*O36*(1-'Policy Allocations'!G$8))</f>
        <v>0</v>
      </c>
      <c r="Z36" s="778">
        <f>IF($W36="No",$M36*P36,$M36*P36*(1-'Policy Allocations'!G$9))</f>
        <v>0</v>
      </c>
      <c r="AA36" s="778">
        <f>IF($W36="No",$M36*Q36,$M36*Q36*(1-'Policy Allocations'!G$10))</f>
        <v>0</v>
      </c>
      <c r="AB36" s="778">
        <f>IF($W36="No",$M36*R36,$M36*R36*(1-'Policy Allocations'!G$11))</f>
        <v>0</v>
      </c>
      <c r="AC36" s="778">
        <f>IF($W36="No",$M36*S36,$M36*S36*(1-'Policy Allocations'!G$12))</f>
        <v>0</v>
      </c>
      <c r="AD36" s="778">
        <f>IF($W36="No",$M36*T36,$M36*T36*(1-'Policy Allocations'!G$13))</f>
        <v>0</v>
      </c>
      <c r="AE36" s="778">
        <f>IF($W36="No",$M36*U36,$M36*U36*(1-'Policy Allocations'!G$14))</f>
        <v>0</v>
      </c>
      <c r="AF36" s="778">
        <f t="shared" si="5"/>
        <v>0</v>
      </c>
      <c r="AG36" s="777">
        <f t="shared" si="6"/>
        <v>0</v>
      </c>
      <c r="AH36" s="232"/>
      <c r="AI36" s="5"/>
      <c r="AJ36" s="5"/>
    </row>
    <row r="37" spans="1:36" s="14" customFormat="1">
      <c r="A37" s="236" t="s">
        <v>195</v>
      </c>
      <c r="B37" s="235" t="s">
        <v>185</v>
      </c>
      <c r="C37" s="235" t="s">
        <v>726</v>
      </c>
      <c r="D37" s="235" t="s">
        <v>1089</v>
      </c>
      <c r="E37" s="235" t="s">
        <v>192</v>
      </c>
      <c r="F37" s="235" t="s">
        <v>760</v>
      </c>
      <c r="G37" s="771">
        <f>VLOOKUP($A37,'Contracts '!$A$2:$J$87,10,FALSE)</f>
        <v>0</v>
      </c>
      <c r="H37" s="773">
        <f>VLOOKUP(A37,'Contracts inf'!$A$3:$I$81,9,FALSE)</f>
        <v>0</v>
      </c>
      <c r="I37" s="774">
        <f t="shared" si="0"/>
        <v>0</v>
      </c>
      <c r="J37" s="325">
        <v>0.52</v>
      </c>
      <c r="K37" s="773">
        <f t="shared" si="1"/>
        <v>0</v>
      </c>
      <c r="L37" s="773">
        <f t="shared" si="2"/>
        <v>0</v>
      </c>
      <c r="M37" s="775">
        <f t="shared" si="3"/>
        <v>0</v>
      </c>
      <c r="N37" s="302">
        <v>1</v>
      </c>
      <c r="O37" s="303">
        <v>0</v>
      </c>
      <c r="P37" s="303">
        <v>0</v>
      </c>
      <c r="Q37" s="303">
        <v>0</v>
      </c>
      <c r="R37" s="303">
        <v>0</v>
      </c>
      <c r="S37" s="303">
        <v>0</v>
      </c>
      <c r="T37" s="303">
        <v>0</v>
      </c>
      <c r="U37" s="303">
        <v>0</v>
      </c>
      <c r="V37" s="298" t="str">
        <f t="shared" si="4"/>
        <v>ok</v>
      </c>
      <c r="W37" s="312" t="s">
        <v>713</v>
      </c>
      <c r="X37" s="778">
        <f>IF($W37="No",$M37*N37,$M37*N37*(1-'Policy Allocations'!G$7))</f>
        <v>0</v>
      </c>
      <c r="Y37" s="778">
        <f>IF($W37="No",$M37*O37,$M37*O37*(1-'Policy Allocations'!G$8))</f>
        <v>0</v>
      </c>
      <c r="Z37" s="778">
        <f>IF($W37="No",$M37*P37,$M37*P37*(1-'Policy Allocations'!G$9))</f>
        <v>0</v>
      </c>
      <c r="AA37" s="778">
        <f>IF($W37="No",$M37*Q37,$M37*Q37*(1-'Policy Allocations'!G$10))</f>
        <v>0</v>
      </c>
      <c r="AB37" s="778">
        <f>IF($W37="No",$M37*R37,$M37*R37*(1-'Policy Allocations'!G$11))</f>
        <v>0</v>
      </c>
      <c r="AC37" s="778">
        <f>IF($W37="No",$M37*S37,$M37*S37*(1-'Policy Allocations'!G$12))</f>
        <v>0</v>
      </c>
      <c r="AD37" s="778">
        <f>IF($W37="No",$M37*T37,$M37*T37*(1-'Policy Allocations'!G$13))</f>
        <v>0</v>
      </c>
      <c r="AE37" s="778">
        <f>IF($W37="No",$M37*U37,$M37*U37*(1-'Policy Allocations'!G$14))</f>
        <v>0</v>
      </c>
      <c r="AF37" s="778">
        <f t="shared" si="5"/>
        <v>0</v>
      </c>
      <c r="AG37" s="777">
        <f t="shared" si="6"/>
        <v>0</v>
      </c>
      <c r="AH37" s="232"/>
      <c r="AI37" s="5"/>
      <c r="AJ37" s="5"/>
    </row>
    <row r="38" spans="1:36" s="14" customFormat="1">
      <c r="A38" s="236" t="s">
        <v>196</v>
      </c>
      <c r="B38" s="235" t="s">
        <v>185</v>
      </c>
      <c r="C38" s="235" t="s">
        <v>726</v>
      </c>
      <c r="D38" s="235" t="s">
        <v>1089</v>
      </c>
      <c r="E38" s="235" t="s">
        <v>192</v>
      </c>
      <c r="F38" s="235" t="s">
        <v>761</v>
      </c>
      <c r="G38" s="771">
        <f>VLOOKUP($A38,'Contracts '!$A$2:$J$87,10,FALSE)</f>
        <v>0</v>
      </c>
      <c r="H38" s="773">
        <f>VLOOKUP(A38,'Contracts inf'!$A$3:$I$81,9,FALSE)</f>
        <v>0</v>
      </c>
      <c r="I38" s="774">
        <f t="shared" si="0"/>
        <v>0</v>
      </c>
      <c r="J38" s="325">
        <v>0.52</v>
      </c>
      <c r="K38" s="773">
        <f t="shared" si="1"/>
        <v>0</v>
      </c>
      <c r="L38" s="773">
        <f t="shared" ref="L38:L60" si="17">$K$106*K38/$K$100</f>
        <v>0</v>
      </c>
      <c r="M38" s="775">
        <f t="shared" si="3"/>
        <v>0</v>
      </c>
      <c r="N38" s="302">
        <v>1</v>
      </c>
      <c r="O38" s="303">
        <v>0</v>
      </c>
      <c r="P38" s="303">
        <v>0</v>
      </c>
      <c r="Q38" s="303">
        <v>0</v>
      </c>
      <c r="R38" s="303">
        <v>0</v>
      </c>
      <c r="S38" s="303">
        <v>0</v>
      </c>
      <c r="T38" s="303">
        <v>0</v>
      </c>
      <c r="U38" s="303">
        <v>0</v>
      </c>
      <c r="V38" s="298" t="str">
        <f t="shared" si="4"/>
        <v>ok</v>
      </c>
      <c r="W38" s="312" t="s">
        <v>713</v>
      </c>
      <c r="X38" s="778">
        <f>IF($W38="No",$M38*N38,$M38*N38*(1-'Policy Allocations'!G$7))</f>
        <v>0</v>
      </c>
      <c r="Y38" s="778">
        <f>IF($W38="No",$M38*O38,$M38*O38*(1-'Policy Allocations'!G$8))</f>
        <v>0</v>
      </c>
      <c r="Z38" s="778">
        <f>IF($W38="No",$M38*P38,$M38*P38*(1-'Policy Allocations'!G$9))</f>
        <v>0</v>
      </c>
      <c r="AA38" s="778">
        <f>IF($W38="No",$M38*Q38,$M38*Q38*(1-'Policy Allocations'!G$10))</f>
        <v>0</v>
      </c>
      <c r="AB38" s="778">
        <f>IF($W38="No",$M38*R38,$M38*R38*(1-'Policy Allocations'!G$11))</f>
        <v>0</v>
      </c>
      <c r="AC38" s="778">
        <f>IF($W38="No",$M38*S38,$M38*S38*(1-'Policy Allocations'!G$12))</f>
        <v>0</v>
      </c>
      <c r="AD38" s="778">
        <f>IF($W38="No",$M38*T38,$M38*T38*(1-'Policy Allocations'!G$13))</f>
        <v>0</v>
      </c>
      <c r="AE38" s="778">
        <f>IF($W38="No",$M38*U38,$M38*U38*(1-'Policy Allocations'!G$14))</f>
        <v>0</v>
      </c>
      <c r="AF38" s="778">
        <f t="shared" si="5"/>
        <v>0</v>
      </c>
      <c r="AG38" s="777">
        <f t="shared" si="6"/>
        <v>0</v>
      </c>
      <c r="AH38" s="232"/>
      <c r="AI38" s="5"/>
      <c r="AJ38" s="5"/>
    </row>
    <row r="39" spans="1:36" s="14" customFormat="1">
      <c r="A39" s="768" t="s">
        <v>1220</v>
      </c>
      <c r="B39" s="769" t="s">
        <v>185</v>
      </c>
      <c r="C39" s="770" t="s">
        <v>727</v>
      </c>
      <c r="D39" s="769" t="s">
        <v>1089</v>
      </c>
      <c r="E39" s="769" t="s">
        <v>192</v>
      </c>
      <c r="F39" s="769" t="s">
        <v>1219</v>
      </c>
      <c r="G39" s="771">
        <f>VLOOKUP($A39,'Contracts '!$A$2:$J$87,10,FALSE)</f>
        <v>0</v>
      </c>
      <c r="H39" s="773">
        <f>VLOOKUP(A39,'Contracts inf'!$A$3:$I$81,9,FALSE)</f>
        <v>0</v>
      </c>
      <c r="I39" s="774">
        <f t="shared" ref="I39" si="18">SUM(G39:H39)</f>
        <v>0</v>
      </c>
      <c r="J39" s="325">
        <v>0.52</v>
      </c>
      <c r="K39" s="773">
        <f t="shared" ref="K39" si="19">I39*(1-J39)</f>
        <v>0</v>
      </c>
      <c r="L39" s="773">
        <f t="shared" si="17"/>
        <v>0</v>
      </c>
      <c r="M39" s="775">
        <f t="shared" ref="M39" si="20">SUM(K39:L39)</f>
        <v>0</v>
      </c>
      <c r="N39" s="302">
        <v>1</v>
      </c>
      <c r="O39" s="303">
        <v>0</v>
      </c>
      <c r="P39" s="303">
        <v>0</v>
      </c>
      <c r="Q39" s="303">
        <v>0</v>
      </c>
      <c r="R39" s="303">
        <v>0</v>
      </c>
      <c r="S39" s="303">
        <v>0</v>
      </c>
      <c r="T39" s="303">
        <v>0</v>
      </c>
      <c r="U39" s="303">
        <v>0</v>
      </c>
      <c r="V39" s="298" t="str">
        <f t="shared" ref="V39" si="21">IF(SUM(N39:U39)&lt;&gt;1,"error","ok")</f>
        <v>ok</v>
      </c>
      <c r="W39" s="312" t="s">
        <v>713</v>
      </c>
      <c r="X39" s="778">
        <f>IF($W39="No",$M39*N39,$M39*N39*(1-'Policy Allocations'!G$7))</f>
        <v>0</v>
      </c>
      <c r="Y39" s="778">
        <f>IF($W39="No",$M39*O39,$M39*O39*(1-'Policy Allocations'!G$8))</f>
        <v>0</v>
      </c>
      <c r="Z39" s="778">
        <f>IF($W39="No",$M39*P39,$M39*P39*(1-'Policy Allocations'!G$9))</f>
        <v>0</v>
      </c>
      <c r="AA39" s="778">
        <f>IF($W39="No",$M39*Q39,$M39*Q39*(1-'Policy Allocations'!G$10))</f>
        <v>0</v>
      </c>
      <c r="AB39" s="778">
        <f>IF($W39="No",$M39*R39,$M39*R39*(1-'Policy Allocations'!G$11))</f>
        <v>0</v>
      </c>
      <c r="AC39" s="778">
        <f>IF($W39="No",$M39*S39,$M39*S39*(1-'Policy Allocations'!G$12))</f>
        <v>0</v>
      </c>
      <c r="AD39" s="778">
        <f>IF($W39="No",$M39*T39,$M39*T39*(1-'Policy Allocations'!G$13))</f>
        <v>0</v>
      </c>
      <c r="AE39" s="778">
        <f>IF($W39="No",$M39*U39,$M39*U39*(1-'Policy Allocations'!G$14))</f>
        <v>0</v>
      </c>
      <c r="AF39" s="778">
        <f t="shared" ref="AF39" si="22">M39-SUM(X39:AE39)</f>
        <v>0</v>
      </c>
      <c r="AG39" s="777">
        <f t="shared" ref="AG39" si="23">SUM(X39:AF39)</f>
        <v>0</v>
      </c>
      <c r="AH39" s="232"/>
      <c r="AI39" s="5"/>
      <c r="AJ39" s="5"/>
    </row>
    <row r="40" spans="1:36" s="14" customFormat="1">
      <c r="A40" s="236" t="s">
        <v>200</v>
      </c>
      <c r="B40" s="235" t="s">
        <v>185</v>
      </c>
      <c r="C40" s="235" t="s">
        <v>765</v>
      </c>
      <c r="D40" s="235" t="s">
        <v>1089</v>
      </c>
      <c r="E40" s="235" t="s">
        <v>192</v>
      </c>
      <c r="F40" s="235" t="s">
        <v>728</v>
      </c>
      <c r="G40" s="771">
        <f>VLOOKUP($A40,'Contracts '!$A$2:$J$87,10,FALSE)</f>
        <v>0</v>
      </c>
      <c r="H40" s="773">
        <f>VLOOKUP(A40,'Contracts inf'!$A$3:$I$81,9,FALSE)</f>
        <v>0</v>
      </c>
      <c r="I40" s="774">
        <f t="shared" ref="I40:I51" si="24">SUM(G40:H40)</f>
        <v>0</v>
      </c>
      <c r="J40" s="325">
        <v>0.52</v>
      </c>
      <c r="K40" s="773">
        <f t="shared" ref="K40:K51" si="25">I40*(1-J40)</f>
        <v>0</v>
      </c>
      <c r="L40" s="773">
        <f t="shared" si="17"/>
        <v>0</v>
      </c>
      <c r="M40" s="775">
        <f t="shared" ref="M40:M51" si="26">SUM(K40:L40)</f>
        <v>0</v>
      </c>
      <c r="N40" s="302">
        <v>1</v>
      </c>
      <c r="O40" s="303">
        <v>0</v>
      </c>
      <c r="P40" s="303">
        <v>0</v>
      </c>
      <c r="Q40" s="303">
        <v>0</v>
      </c>
      <c r="R40" s="303">
        <v>0</v>
      </c>
      <c r="S40" s="303">
        <v>0</v>
      </c>
      <c r="T40" s="303">
        <v>0</v>
      </c>
      <c r="U40" s="303">
        <v>0</v>
      </c>
      <c r="V40" s="298" t="str">
        <f t="shared" ref="V40:V51" si="27">IF(SUM(N40:U40)&lt;&gt;1,"error","ok")</f>
        <v>ok</v>
      </c>
      <c r="W40" s="312" t="s">
        <v>713</v>
      </c>
      <c r="X40" s="778">
        <f>IF($W40="No",$M40*N40,$M40*N40*(1-'Policy Allocations'!G$7))</f>
        <v>0</v>
      </c>
      <c r="Y40" s="778">
        <f>IF($W40="No",$M40*O40,$M40*O40*(1-'Policy Allocations'!G$8))</f>
        <v>0</v>
      </c>
      <c r="Z40" s="778">
        <f>IF($W40="No",$M40*P40,$M40*P40*(1-'Policy Allocations'!G$9))</f>
        <v>0</v>
      </c>
      <c r="AA40" s="778">
        <f>IF($W40="No",$M40*Q40,$M40*Q40*(1-'Policy Allocations'!G$10))</f>
        <v>0</v>
      </c>
      <c r="AB40" s="778">
        <f>IF($W40="No",$M40*R40,$M40*R40*(1-'Policy Allocations'!G$11))</f>
        <v>0</v>
      </c>
      <c r="AC40" s="778">
        <f>IF($W40="No",$M40*S40,$M40*S40*(1-'Policy Allocations'!G$12))</f>
        <v>0</v>
      </c>
      <c r="AD40" s="778">
        <f>IF($W40="No",$M40*T40,$M40*T40*(1-'Policy Allocations'!G$13))</f>
        <v>0</v>
      </c>
      <c r="AE40" s="778">
        <f>IF($W40="No",$M40*U40,$M40*U40*(1-'Policy Allocations'!G$14))</f>
        <v>0</v>
      </c>
      <c r="AF40" s="778">
        <f t="shared" ref="AF40:AF51" si="28">M40-SUM(X40:AE40)</f>
        <v>0</v>
      </c>
      <c r="AG40" s="777">
        <f t="shared" ref="AG40:AG51" si="29">SUM(X40:AF40)</f>
        <v>0</v>
      </c>
      <c r="AH40" s="232"/>
      <c r="AI40" s="5"/>
      <c r="AJ40" s="5"/>
    </row>
    <row r="41" spans="1:36" s="14" customFormat="1">
      <c r="A41" s="14" t="s">
        <v>160</v>
      </c>
      <c r="B41" s="235" t="s">
        <v>185</v>
      </c>
      <c r="C41" s="235" t="s">
        <v>722</v>
      </c>
      <c r="D41" s="235" t="s">
        <v>1085</v>
      </c>
      <c r="E41" s="235" t="s">
        <v>737</v>
      </c>
      <c r="F41" s="235" t="s">
        <v>1091</v>
      </c>
      <c r="G41" s="771">
        <f>VLOOKUP($A41,'Contracts '!$A$2:$J$87,10,FALSE)</f>
        <v>0</v>
      </c>
      <c r="H41" s="773">
        <f>VLOOKUP(A41,'Contracts inf'!$A$3:$I$81,9,FALSE)</f>
        <v>0</v>
      </c>
      <c r="I41" s="774">
        <f t="shared" si="24"/>
        <v>0</v>
      </c>
      <c r="J41" s="325">
        <v>0.52</v>
      </c>
      <c r="K41" s="773">
        <f t="shared" si="25"/>
        <v>0</v>
      </c>
      <c r="L41" s="773">
        <f t="shared" si="17"/>
        <v>0</v>
      </c>
      <c r="M41" s="775">
        <f t="shared" si="26"/>
        <v>0</v>
      </c>
      <c r="N41" s="302">
        <v>0</v>
      </c>
      <c r="O41" s="303">
        <v>0</v>
      </c>
      <c r="P41" s="303">
        <v>0</v>
      </c>
      <c r="Q41" s="303">
        <v>1</v>
      </c>
      <c r="R41" s="303">
        <v>0</v>
      </c>
      <c r="S41" s="303">
        <v>0</v>
      </c>
      <c r="T41" s="303">
        <v>0</v>
      </c>
      <c r="U41" s="303">
        <v>0</v>
      </c>
      <c r="V41" s="298" t="str">
        <f t="shared" si="27"/>
        <v>ok</v>
      </c>
      <c r="W41" s="312" t="s">
        <v>706</v>
      </c>
      <c r="X41" s="778">
        <f>IF($W41="No",$M41*N41,$M41*N41*(1-'Policy Allocations'!G$7))</f>
        <v>0</v>
      </c>
      <c r="Y41" s="778">
        <f>IF($W41="No",$M41*O41,$M41*O41*(1-'Policy Allocations'!G$8))</f>
        <v>0</v>
      </c>
      <c r="Z41" s="778">
        <f>IF($W41="No",$M41*P41,$M41*P41*(1-'Policy Allocations'!G$9))</f>
        <v>0</v>
      </c>
      <c r="AA41" s="778">
        <f>IF($W41="No",$M41*Q41,$M41*Q41*(1-'Policy Allocations'!G$10))</f>
        <v>0</v>
      </c>
      <c r="AB41" s="778">
        <f>IF($W41="No",$M41*R41,$M41*R41*(1-'Policy Allocations'!G$11))</f>
        <v>0</v>
      </c>
      <c r="AC41" s="778">
        <f>IF($W41="No",$M41*S41,$M41*S41*(1-'Policy Allocations'!G$12))</f>
        <v>0</v>
      </c>
      <c r="AD41" s="778">
        <f>IF($W41="No",$M41*T41,$M41*T41*(1-'Policy Allocations'!G$13))</f>
        <v>0</v>
      </c>
      <c r="AE41" s="778">
        <f>IF($W41="No",$M41*U41,$M41*U41*(1-'Policy Allocations'!G$14))</f>
        <v>0</v>
      </c>
      <c r="AF41" s="778">
        <f t="shared" si="28"/>
        <v>0</v>
      </c>
      <c r="AG41" s="777">
        <f t="shared" si="29"/>
        <v>0</v>
      </c>
      <c r="AH41" s="232"/>
      <c r="AI41" s="5"/>
      <c r="AJ41" s="5"/>
    </row>
    <row r="42" spans="1:36" s="14" customFormat="1">
      <c r="A42" s="14" t="s">
        <v>202</v>
      </c>
      <c r="B42" s="235" t="s">
        <v>185</v>
      </c>
      <c r="C42" s="235" t="s">
        <v>726</v>
      </c>
      <c r="D42" s="235" t="s">
        <v>1089</v>
      </c>
      <c r="E42" s="235" t="s">
        <v>192</v>
      </c>
      <c r="F42" s="235" t="s">
        <v>767</v>
      </c>
      <c r="G42" s="771">
        <f>VLOOKUP($A42,'Contracts '!$A$2:$J$87,10,FALSE)</f>
        <v>0</v>
      </c>
      <c r="H42" s="773">
        <f>VLOOKUP(A42,'Contracts inf'!$A$3:$I$81,9,FALSE)</f>
        <v>0</v>
      </c>
      <c r="I42" s="774">
        <f t="shared" si="24"/>
        <v>0</v>
      </c>
      <c r="J42" s="325">
        <v>0.52</v>
      </c>
      <c r="K42" s="773">
        <f t="shared" si="25"/>
        <v>0</v>
      </c>
      <c r="L42" s="773">
        <f t="shared" si="17"/>
        <v>0</v>
      </c>
      <c r="M42" s="775">
        <f t="shared" si="26"/>
        <v>0</v>
      </c>
      <c r="N42" s="302">
        <v>1</v>
      </c>
      <c r="O42" s="303">
        <v>0</v>
      </c>
      <c r="P42" s="303">
        <v>0</v>
      </c>
      <c r="Q42" s="303">
        <v>0</v>
      </c>
      <c r="R42" s="303">
        <v>0</v>
      </c>
      <c r="S42" s="303">
        <v>0</v>
      </c>
      <c r="T42" s="303">
        <v>0</v>
      </c>
      <c r="U42" s="303">
        <v>0</v>
      </c>
      <c r="V42" s="298" t="str">
        <f t="shared" si="27"/>
        <v>ok</v>
      </c>
      <c r="W42" s="312" t="s">
        <v>713</v>
      </c>
      <c r="X42" s="778">
        <f>IF($W42="No",$M42*N42,$M42*N42*(1-'Policy Allocations'!G$7))</f>
        <v>0</v>
      </c>
      <c r="Y42" s="778">
        <f>IF($W42="No",$M42*O42,$M42*O42*(1-'Policy Allocations'!G$8))</f>
        <v>0</v>
      </c>
      <c r="Z42" s="778">
        <f>IF($W42="No",$M42*P42,$M42*P42*(1-'Policy Allocations'!G$9))</f>
        <v>0</v>
      </c>
      <c r="AA42" s="778">
        <f>IF($W42="No",$M42*Q42,$M42*Q42*(1-'Policy Allocations'!G$10))</f>
        <v>0</v>
      </c>
      <c r="AB42" s="778">
        <f>IF($W42="No",$M42*R42,$M42*R42*(1-'Policy Allocations'!G$11))</f>
        <v>0</v>
      </c>
      <c r="AC42" s="778">
        <f>IF($W42="No",$M42*S42,$M42*S42*(1-'Policy Allocations'!G$12))</f>
        <v>0</v>
      </c>
      <c r="AD42" s="778">
        <f>IF($W42="No",$M42*T42,$M42*T42*(1-'Policy Allocations'!G$13))</f>
        <v>0</v>
      </c>
      <c r="AE42" s="778">
        <f>IF($W42="No",$M42*U42,$M42*U42*(1-'Policy Allocations'!G$14))</f>
        <v>0</v>
      </c>
      <c r="AF42" s="778">
        <f t="shared" si="28"/>
        <v>0</v>
      </c>
      <c r="AG42" s="777">
        <f t="shared" si="29"/>
        <v>0</v>
      </c>
      <c r="AH42" s="232"/>
      <c r="AI42" s="5"/>
      <c r="AJ42" s="5"/>
    </row>
    <row r="43" spans="1:36" s="14" customFormat="1">
      <c r="A43" s="14" t="s">
        <v>203</v>
      </c>
      <c r="B43" s="235" t="s">
        <v>185</v>
      </c>
      <c r="C43" s="235" t="s">
        <v>726</v>
      </c>
      <c r="D43" s="235" t="s">
        <v>1089</v>
      </c>
      <c r="E43" s="235" t="s">
        <v>192</v>
      </c>
      <c r="F43" s="235" t="s">
        <v>768</v>
      </c>
      <c r="G43" s="771">
        <f>VLOOKUP($A43,'Contracts '!$A$2:$J$87,10,FALSE)</f>
        <v>0</v>
      </c>
      <c r="H43" s="773">
        <f>VLOOKUP(A43,'Contracts inf'!$A$3:$I$81,9,FALSE)</f>
        <v>0</v>
      </c>
      <c r="I43" s="774">
        <f t="shared" si="24"/>
        <v>0</v>
      </c>
      <c r="J43" s="325">
        <v>0.52</v>
      </c>
      <c r="K43" s="773">
        <f t="shared" si="25"/>
        <v>0</v>
      </c>
      <c r="L43" s="773">
        <f t="shared" si="17"/>
        <v>0</v>
      </c>
      <c r="M43" s="775">
        <f t="shared" si="26"/>
        <v>0</v>
      </c>
      <c r="N43" s="302">
        <v>1</v>
      </c>
      <c r="O43" s="303">
        <v>0</v>
      </c>
      <c r="P43" s="303">
        <v>0</v>
      </c>
      <c r="Q43" s="303">
        <v>0</v>
      </c>
      <c r="R43" s="303">
        <v>0</v>
      </c>
      <c r="S43" s="303">
        <v>0</v>
      </c>
      <c r="T43" s="303">
        <v>0</v>
      </c>
      <c r="U43" s="303">
        <v>0</v>
      </c>
      <c r="V43" s="298" t="str">
        <f t="shared" si="27"/>
        <v>ok</v>
      </c>
      <c r="W43" s="312" t="s">
        <v>713</v>
      </c>
      <c r="X43" s="778">
        <f>IF($W43="No",$M43*N43,$M43*N43*(1-'Policy Allocations'!G$7))</f>
        <v>0</v>
      </c>
      <c r="Y43" s="778">
        <f>IF($W43="No",$M43*O43,$M43*O43*(1-'Policy Allocations'!G$8))</f>
        <v>0</v>
      </c>
      <c r="Z43" s="778">
        <f>IF($W43="No",$M43*P43,$M43*P43*(1-'Policy Allocations'!G$9))</f>
        <v>0</v>
      </c>
      <c r="AA43" s="778">
        <f>IF($W43="No",$M43*Q43,$M43*Q43*(1-'Policy Allocations'!G$10))</f>
        <v>0</v>
      </c>
      <c r="AB43" s="778">
        <f>IF($W43="No",$M43*R43,$M43*R43*(1-'Policy Allocations'!G$11))</f>
        <v>0</v>
      </c>
      <c r="AC43" s="778">
        <f>IF($W43="No",$M43*S43,$M43*S43*(1-'Policy Allocations'!G$12))</f>
        <v>0</v>
      </c>
      <c r="AD43" s="778">
        <f>IF($W43="No",$M43*T43,$M43*T43*(1-'Policy Allocations'!G$13))</f>
        <v>0</v>
      </c>
      <c r="AE43" s="778">
        <f>IF($W43="No",$M43*U43,$M43*U43*(1-'Policy Allocations'!G$14))</f>
        <v>0</v>
      </c>
      <c r="AF43" s="778">
        <f t="shared" si="28"/>
        <v>0</v>
      </c>
      <c r="AG43" s="777">
        <f t="shared" si="29"/>
        <v>0</v>
      </c>
      <c r="AH43" s="232"/>
      <c r="AI43" s="5"/>
      <c r="AJ43" s="5"/>
    </row>
    <row r="44" spans="1:36" s="14" customFormat="1">
      <c r="A44" s="14" t="s">
        <v>204</v>
      </c>
      <c r="B44" s="235" t="s">
        <v>185</v>
      </c>
      <c r="C44" s="235" t="s">
        <v>726</v>
      </c>
      <c r="D44" s="235" t="s">
        <v>1089</v>
      </c>
      <c r="E44" s="235" t="s">
        <v>192</v>
      </c>
      <c r="F44" s="235" t="s">
        <v>769</v>
      </c>
      <c r="G44" s="771">
        <f>VLOOKUP($A44,'Contracts '!$A$2:$J$87,10,FALSE)</f>
        <v>0</v>
      </c>
      <c r="H44" s="773">
        <f>VLOOKUP(A44,'Contracts inf'!$A$3:$I$81,9,FALSE)</f>
        <v>0</v>
      </c>
      <c r="I44" s="774">
        <f t="shared" si="24"/>
        <v>0</v>
      </c>
      <c r="J44" s="325">
        <v>0.52</v>
      </c>
      <c r="K44" s="773">
        <f t="shared" si="25"/>
        <v>0</v>
      </c>
      <c r="L44" s="773">
        <f t="shared" si="17"/>
        <v>0</v>
      </c>
      <c r="M44" s="775">
        <f t="shared" si="26"/>
        <v>0</v>
      </c>
      <c r="N44" s="302">
        <v>1</v>
      </c>
      <c r="O44" s="303">
        <v>0</v>
      </c>
      <c r="P44" s="303">
        <v>0</v>
      </c>
      <c r="Q44" s="303">
        <v>0</v>
      </c>
      <c r="R44" s="303">
        <v>0</v>
      </c>
      <c r="S44" s="303">
        <v>0</v>
      </c>
      <c r="T44" s="303">
        <v>0</v>
      </c>
      <c r="U44" s="303">
        <v>0</v>
      </c>
      <c r="V44" s="298" t="str">
        <f t="shared" si="27"/>
        <v>ok</v>
      </c>
      <c r="W44" s="312" t="s">
        <v>713</v>
      </c>
      <c r="X44" s="778">
        <f>IF($W44="No",$M44*N44,$M44*N44*(1-'Policy Allocations'!G$7))</f>
        <v>0</v>
      </c>
      <c r="Y44" s="778">
        <f>IF($W44="No",$M44*O44,$M44*O44*(1-'Policy Allocations'!G$8))</f>
        <v>0</v>
      </c>
      <c r="Z44" s="778">
        <f>IF($W44="No",$M44*P44,$M44*P44*(1-'Policy Allocations'!G$9))</f>
        <v>0</v>
      </c>
      <c r="AA44" s="778">
        <f>IF($W44="No",$M44*Q44,$M44*Q44*(1-'Policy Allocations'!G$10))</f>
        <v>0</v>
      </c>
      <c r="AB44" s="778">
        <f>IF($W44="No",$M44*R44,$M44*R44*(1-'Policy Allocations'!G$11))</f>
        <v>0</v>
      </c>
      <c r="AC44" s="778">
        <f>IF($W44="No",$M44*S44,$M44*S44*(1-'Policy Allocations'!G$12))</f>
        <v>0</v>
      </c>
      <c r="AD44" s="778">
        <f>IF($W44="No",$M44*T44,$M44*T44*(1-'Policy Allocations'!G$13))</f>
        <v>0</v>
      </c>
      <c r="AE44" s="778">
        <f>IF($W44="No",$M44*U44,$M44*U44*(1-'Policy Allocations'!G$14))</f>
        <v>0</v>
      </c>
      <c r="AF44" s="778">
        <f t="shared" si="28"/>
        <v>0</v>
      </c>
      <c r="AG44" s="777">
        <f t="shared" si="29"/>
        <v>0</v>
      </c>
      <c r="AH44" s="232"/>
      <c r="AI44" s="5"/>
      <c r="AJ44" s="5"/>
    </row>
    <row r="45" spans="1:36" s="14" customFormat="1">
      <c r="A45" s="14" t="s">
        <v>205</v>
      </c>
      <c r="B45" s="235" t="s">
        <v>185</v>
      </c>
      <c r="C45" s="235" t="s">
        <v>726</v>
      </c>
      <c r="D45" s="235" t="s">
        <v>1089</v>
      </c>
      <c r="E45" s="235" t="s">
        <v>192</v>
      </c>
      <c r="F45" s="235" t="s">
        <v>770</v>
      </c>
      <c r="G45" s="771">
        <f>VLOOKUP($A45,'Contracts '!$A$2:$J$87,10,FALSE)</f>
        <v>0</v>
      </c>
      <c r="H45" s="773">
        <f>VLOOKUP(A45,'Contracts inf'!$A$3:$I$81,9,FALSE)</f>
        <v>0</v>
      </c>
      <c r="I45" s="774">
        <f t="shared" si="24"/>
        <v>0</v>
      </c>
      <c r="J45" s="325">
        <v>0.52</v>
      </c>
      <c r="K45" s="773">
        <f t="shared" si="25"/>
        <v>0</v>
      </c>
      <c r="L45" s="773">
        <f t="shared" si="17"/>
        <v>0</v>
      </c>
      <c r="M45" s="775">
        <f t="shared" si="26"/>
        <v>0</v>
      </c>
      <c r="N45" s="302">
        <v>1</v>
      </c>
      <c r="O45" s="303">
        <v>0</v>
      </c>
      <c r="P45" s="303">
        <v>0</v>
      </c>
      <c r="Q45" s="303">
        <v>0</v>
      </c>
      <c r="R45" s="303">
        <v>0</v>
      </c>
      <c r="S45" s="303">
        <v>0</v>
      </c>
      <c r="T45" s="303">
        <v>0</v>
      </c>
      <c r="U45" s="303">
        <v>0</v>
      </c>
      <c r="V45" s="298" t="str">
        <f t="shared" si="27"/>
        <v>ok</v>
      </c>
      <c r="W45" s="312" t="s">
        <v>713</v>
      </c>
      <c r="X45" s="778">
        <f>IF($W45="No",$M45*N45,$M45*N45*(1-'Policy Allocations'!G$7))</f>
        <v>0</v>
      </c>
      <c r="Y45" s="778">
        <f>IF($W45="No",$M45*O45,$M45*O45*(1-'Policy Allocations'!G$8))</f>
        <v>0</v>
      </c>
      <c r="Z45" s="778">
        <f>IF($W45="No",$M45*P45,$M45*P45*(1-'Policy Allocations'!G$9))</f>
        <v>0</v>
      </c>
      <c r="AA45" s="778">
        <f>IF($W45="No",$M45*Q45,$M45*Q45*(1-'Policy Allocations'!G$10))</f>
        <v>0</v>
      </c>
      <c r="AB45" s="778">
        <f>IF($W45="No",$M45*R45,$M45*R45*(1-'Policy Allocations'!G$11))</f>
        <v>0</v>
      </c>
      <c r="AC45" s="778">
        <f>IF($W45="No",$M45*S45,$M45*S45*(1-'Policy Allocations'!G$12))</f>
        <v>0</v>
      </c>
      <c r="AD45" s="778">
        <f>IF($W45="No",$M45*T45,$M45*T45*(1-'Policy Allocations'!G$13))</f>
        <v>0</v>
      </c>
      <c r="AE45" s="778">
        <f>IF($W45="No",$M45*U45,$M45*U45*(1-'Policy Allocations'!G$14))</f>
        <v>0</v>
      </c>
      <c r="AF45" s="778">
        <f t="shared" si="28"/>
        <v>0</v>
      </c>
      <c r="AG45" s="777">
        <f t="shared" si="29"/>
        <v>0</v>
      </c>
      <c r="AH45" s="232"/>
      <c r="AI45" s="5"/>
      <c r="AJ45" s="5"/>
    </row>
    <row r="46" spans="1:36" s="14" customFormat="1">
      <c r="A46" s="14" t="s">
        <v>206</v>
      </c>
      <c r="B46" s="235" t="s">
        <v>185</v>
      </c>
      <c r="C46" s="235" t="s">
        <v>726</v>
      </c>
      <c r="D46" s="235" t="s">
        <v>1089</v>
      </c>
      <c r="E46" s="235" t="s">
        <v>192</v>
      </c>
      <c r="F46" s="235" t="s">
        <v>772</v>
      </c>
      <c r="G46" s="771">
        <f>VLOOKUP($A46,'Contracts '!$A$2:$J$87,10,FALSE)</f>
        <v>0</v>
      </c>
      <c r="H46" s="773">
        <f>VLOOKUP(A46,'Contracts inf'!$A$3:$I$81,9,FALSE)</f>
        <v>0</v>
      </c>
      <c r="I46" s="774">
        <f t="shared" si="24"/>
        <v>0</v>
      </c>
      <c r="J46" s="325">
        <v>0.52</v>
      </c>
      <c r="K46" s="773">
        <f t="shared" si="25"/>
        <v>0</v>
      </c>
      <c r="L46" s="773">
        <f t="shared" si="17"/>
        <v>0</v>
      </c>
      <c r="M46" s="775">
        <f t="shared" si="26"/>
        <v>0</v>
      </c>
      <c r="N46" s="302">
        <v>1</v>
      </c>
      <c r="O46" s="303">
        <v>0</v>
      </c>
      <c r="P46" s="303">
        <v>0</v>
      </c>
      <c r="Q46" s="303">
        <v>0</v>
      </c>
      <c r="R46" s="303">
        <v>0</v>
      </c>
      <c r="S46" s="303">
        <v>0</v>
      </c>
      <c r="T46" s="303">
        <v>0</v>
      </c>
      <c r="U46" s="303">
        <v>0</v>
      </c>
      <c r="V46" s="298" t="str">
        <f t="shared" si="27"/>
        <v>ok</v>
      </c>
      <c r="W46" s="312" t="s">
        <v>713</v>
      </c>
      <c r="X46" s="778">
        <f>IF($W46="No",$M46*N46,$M46*N46*(1-'Policy Allocations'!G$7))</f>
        <v>0</v>
      </c>
      <c r="Y46" s="778">
        <f>IF($W46="No",$M46*O46,$M46*O46*(1-'Policy Allocations'!G$8))</f>
        <v>0</v>
      </c>
      <c r="Z46" s="778">
        <f>IF($W46="No",$M46*P46,$M46*P46*(1-'Policy Allocations'!G$9))</f>
        <v>0</v>
      </c>
      <c r="AA46" s="778">
        <f>IF($W46="No",$M46*Q46,$M46*Q46*(1-'Policy Allocations'!G$10))</f>
        <v>0</v>
      </c>
      <c r="AB46" s="778">
        <f>IF($W46="No",$M46*R46,$M46*R46*(1-'Policy Allocations'!G$11))</f>
        <v>0</v>
      </c>
      <c r="AC46" s="778">
        <f>IF($W46="No",$M46*S46,$M46*S46*(1-'Policy Allocations'!G$12))</f>
        <v>0</v>
      </c>
      <c r="AD46" s="778">
        <f>IF($W46="No",$M46*T46,$M46*T46*(1-'Policy Allocations'!G$13))</f>
        <v>0</v>
      </c>
      <c r="AE46" s="778">
        <f>IF($W46="No",$M46*U46,$M46*U46*(1-'Policy Allocations'!G$14))</f>
        <v>0</v>
      </c>
      <c r="AF46" s="778">
        <f t="shared" si="28"/>
        <v>0</v>
      </c>
      <c r="AG46" s="777">
        <f t="shared" si="29"/>
        <v>0</v>
      </c>
      <c r="AH46" s="232"/>
      <c r="AI46" s="5"/>
      <c r="AJ46" s="5"/>
    </row>
    <row r="47" spans="1:36" s="14" customFormat="1">
      <c r="A47" s="14" t="s">
        <v>210</v>
      </c>
      <c r="B47" s="235" t="s">
        <v>185</v>
      </c>
      <c r="C47" s="235" t="s">
        <v>731</v>
      </c>
      <c r="D47" s="235" t="s">
        <v>1083</v>
      </c>
      <c r="E47" s="235" t="s">
        <v>822</v>
      </c>
      <c r="F47" s="235" t="s">
        <v>779</v>
      </c>
      <c r="G47" s="771">
        <f>VLOOKUP($A47,'Contracts '!$A$2:$J$87,10,FALSE)</f>
        <v>0</v>
      </c>
      <c r="H47" s="773">
        <f>VLOOKUP(A47,'Contracts inf'!$A$3:$I$81,9,FALSE)</f>
        <v>0</v>
      </c>
      <c r="I47" s="774">
        <f t="shared" si="24"/>
        <v>0</v>
      </c>
      <c r="J47" s="325">
        <v>0.52</v>
      </c>
      <c r="K47" s="773">
        <f t="shared" si="25"/>
        <v>0</v>
      </c>
      <c r="L47" s="773">
        <f t="shared" si="17"/>
        <v>0</v>
      </c>
      <c r="M47" s="775">
        <f t="shared" si="26"/>
        <v>0</v>
      </c>
      <c r="N47" s="302">
        <v>0</v>
      </c>
      <c r="O47" s="303">
        <v>0</v>
      </c>
      <c r="P47" s="303">
        <v>0</v>
      </c>
      <c r="Q47" s="303">
        <v>0</v>
      </c>
      <c r="R47" s="303">
        <v>1</v>
      </c>
      <c r="S47" s="303">
        <v>0</v>
      </c>
      <c r="T47" s="303">
        <v>0</v>
      </c>
      <c r="U47" s="303">
        <v>0</v>
      </c>
      <c r="V47" s="298" t="str">
        <f t="shared" si="27"/>
        <v>ok</v>
      </c>
      <c r="W47" s="312" t="s">
        <v>713</v>
      </c>
      <c r="X47" s="778">
        <f>IF($W47="No",$M47*N47,$M47*N47*(1-'Policy Allocations'!G$7))</f>
        <v>0</v>
      </c>
      <c r="Y47" s="778">
        <f>IF($W47="No",$M47*O47,$M47*O47*(1-'Policy Allocations'!G$8))</f>
        <v>0</v>
      </c>
      <c r="Z47" s="778">
        <f>IF($W47="No",$M47*P47,$M47*P47*(1-'Policy Allocations'!G$9))</f>
        <v>0</v>
      </c>
      <c r="AA47" s="778">
        <f>IF($W47="No",$M47*Q47,$M47*Q47*(1-'Policy Allocations'!G$10))</f>
        <v>0</v>
      </c>
      <c r="AB47" s="778">
        <f>IF($W47="No",$M47*R47,$M47*R47*(1-'Policy Allocations'!G$11))</f>
        <v>0</v>
      </c>
      <c r="AC47" s="778">
        <f>IF($W47="No",$M47*S47,$M47*S47*(1-'Policy Allocations'!G$12))</f>
        <v>0</v>
      </c>
      <c r="AD47" s="778">
        <f>IF($W47="No",$M47*T47,$M47*T47*(1-'Policy Allocations'!G$13))</f>
        <v>0</v>
      </c>
      <c r="AE47" s="778">
        <f>IF($W47="No",$M47*U47,$M47*U47*(1-'Policy Allocations'!G$14))</f>
        <v>0</v>
      </c>
      <c r="AF47" s="778">
        <f t="shared" si="28"/>
        <v>0</v>
      </c>
      <c r="AG47" s="777">
        <f t="shared" si="29"/>
        <v>0</v>
      </c>
      <c r="AH47" s="232"/>
      <c r="AI47" s="5"/>
      <c r="AJ47" s="5"/>
    </row>
    <row r="48" spans="1:36" s="14" customFormat="1">
      <c r="A48" s="14" t="s">
        <v>211</v>
      </c>
      <c r="B48" s="235" t="s">
        <v>185</v>
      </c>
      <c r="C48" s="235" t="s">
        <v>729</v>
      </c>
      <c r="D48" s="235" t="s">
        <v>1085</v>
      </c>
      <c r="E48" s="235" t="s">
        <v>737</v>
      </c>
      <c r="F48" s="235" t="s">
        <v>1092</v>
      </c>
      <c r="G48" s="771">
        <f>VLOOKUP($A48,'Contracts '!$A$2:$J$87,10,FALSE)</f>
        <v>0</v>
      </c>
      <c r="H48" s="773">
        <f>VLOOKUP(A48,'Contracts inf'!$A$3:$I$81,9,FALSE)</f>
        <v>0</v>
      </c>
      <c r="I48" s="774">
        <f t="shared" si="24"/>
        <v>0</v>
      </c>
      <c r="J48" s="325">
        <v>0.52</v>
      </c>
      <c r="K48" s="773">
        <f t="shared" si="25"/>
        <v>0</v>
      </c>
      <c r="L48" s="773">
        <f t="shared" si="17"/>
        <v>0</v>
      </c>
      <c r="M48" s="775">
        <f t="shared" si="26"/>
        <v>0</v>
      </c>
      <c r="N48" s="302">
        <v>0</v>
      </c>
      <c r="O48" s="303">
        <v>0</v>
      </c>
      <c r="P48" s="303">
        <v>0</v>
      </c>
      <c r="Q48" s="303">
        <v>1</v>
      </c>
      <c r="R48" s="303">
        <v>0</v>
      </c>
      <c r="S48" s="303">
        <v>0</v>
      </c>
      <c r="T48" s="303">
        <v>0</v>
      </c>
      <c r="U48" s="303">
        <v>0</v>
      </c>
      <c r="V48" s="298" t="str">
        <f t="shared" si="27"/>
        <v>ok</v>
      </c>
      <c r="W48" s="312" t="s">
        <v>713</v>
      </c>
      <c r="X48" s="778">
        <f>IF($W48="No",$M48*N48,$M48*N48*(1-'Policy Allocations'!G$7))</f>
        <v>0</v>
      </c>
      <c r="Y48" s="778">
        <f>IF($W48="No",$M48*O48,$M48*O48*(1-'Policy Allocations'!G$8))</f>
        <v>0</v>
      </c>
      <c r="Z48" s="778">
        <f>IF($W48="No",$M48*P48,$M48*P48*(1-'Policy Allocations'!G$9))</f>
        <v>0</v>
      </c>
      <c r="AA48" s="778">
        <f>IF($W48="No",$M48*Q48,$M48*Q48*(1-'Policy Allocations'!G$10))</f>
        <v>0</v>
      </c>
      <c r="AB48" s="778">
        <f>IF($W48="No",$M48*R48,$M48*R48*(1-'Policy Allocations'!G$11))</f>
        <v>0</v>
      </c>
      <c r="AC48" s="778">
        <f>IF($W48="No",$M48*S48,$M48*S48*(1-'Policy Allocations'!G$12))</f>
        <v>0</v>
      </c>
      <c r="AD48" s="778">
        <f>IF($W48="No",$M48*T48,$M48*T48*(1-'Policy Allocations'!G$13))</f>
        <v>0</v>
      </c>
      <c r="AE48" s="778">
        <f>IF($W48="No",$M48*U48,$M48*U48*(1-'Policy Allocations'!G$14))</f>
        <v>0</v>
      </c>
      <c r="AF48" s="778">
        <f t="shared" si="28"/>
        <v>0</v>
      </c>
      <c r="AG48" s="777">
        <f t="shared" si="29"/>
        <v>0</v>
      </c>
      <c r="AH48" s="232"/>
      <c r="AI48" s="5"/>
      <c r="AJ48" s="5"/>
    </row>
    <row r="49" spans="1:36" s="14" customFormat="1">
      <c r="A49" s="14" t="s">
        <v>212</v>
      </c>
      <c r="B49" s="235" t="s">
        <v>185</v>
      </c>
      <c r="C49" s="235" t="s">
        <v>730</v>
      </c>
      <c r="D49" s="235" t="s">
        <v>1089</v>
      </c>
      <c r="E49" s="235" t="s">
        <v>192</v>
      </c>
      <c r="F49" s="235" t="s">
        <v>1093</v>
      </c>
      <c r="G49" s="771">
        <f>VLOOKUP($A49,'Contracts '!$A$2:$J$87,10,FALSE)</f>
        <v>0</v>
      </c>
      <c r="H49" s="773">
        <f>VLOOKUP(A49,'Contracts inf'!$A$3:$I$81,9,FALSE)</f>
        <v>0</v>
      </c>
      <c r="I49" s="774">
        <f t="shared" si="24"/>
        <v>0</v>
      </c>
      <c r="J49" s="325">
        <v>0.52</v>
      </c>
      <c r="K49" s="773">
        <f t="shared" si="25"/>
        <v>0</v>
      </c>
      <c r="L49" s="773">
        <f t="shared" si="17"/>
        <v>0</v>
      </c>
      <c r="M49" s="775">
        <f t="shared" si="26"/>
        <v>0</v>
      </c>
      <c r="N49" s="302">
        <v>1</v>
      </c>
      <c r="O49" s="303">
        <v>0</v>
      </c>
      <c r="P49" s="303">
        <v>0</v>
      </c>
      <c r="Q49" s="303">
        <v>0</v>
      </c>
      <c r="R49" s="303">
        <v>0</v>
      </c>
      <c r="S49" s="303">
        <v>0</v>
      </c>
      <c r="T49" s="303">
        <v>0</v>
      </c>
      <c r="U49" s="303">
        <v>0</v>
      </c>
      <c r="V49" s="298" t="str">
        <f t="shared" si="27"/>
        <v>ok</v>
      </c>
      <c r="W49" s="312" t="s">
        <v>713</v>
      </c>
      <c r="X49" s="778">
        <f>IF($W49="No",$M49*N49,$M49*N49*(1-'Policy Allocations'!G$7))</f>
        <v>0</v>
      </c>
      <c r="Y49" s="778">
        <f>IF($W49="No",$M49*O49,$M49*O49*(1-'Policy Allocations'!G$8))</f>
        <v>0</v>
      </c>
      <c r="Z49" s="778">
        <f>IF($W49="No",$M49*P49,$M49*P49*(1-'Policy Allocations'!G$9))</f>
        <v>0</v>
      </c>
      <c r="AA49" s="778">
        <f>IF($W49="No",$M49*Q49,$M49*Q49*(1-'Policy Allocations'!G$10))</f>
        <v>0</v>
      </c>
      <c r="AB49" s="778">
        <f>IF($W49="No",$M49*R49,$M49*R49*(1-'Policy Allocations'!G$11))</f>
        <v>0</v>
      </c>
      <c r="AC49" s="778">
        <f>IF($W49="No",$M49*S49,$M49*S49*(1-'Policy Allocations'!G$12))</f>
        <v>0</v>
      </c>
      <c r="AD49" s="778">
        <f>IF($W49="No",$M49*T49,$M49*T49*(1-'Policy Allocations'!G$13))</f>
        <v>0</v>
      </c>
      <c r="AE49" s="778">
        <f>IF($W49="No",$M49*U49,$M49*U49*(1-'Policy Allocations'!G$14))</f>
        <v>0</v>
      </c>
      <c r="AF49" s="778">
        <f t="shared" si="28"/>
        <v>0</v>
      </c>
      <c r="AG49" s="777">
        <f t="shared" si="29"/>
        <v>0</v>
      </c>
      <c r="AH49" s="232"/>
      <c r="AI49" s="5"/>
      <c r="AJ49" s="5"/>
    </row>
    <row r="50" spans="1:36" s="14" customFormat="1">
      <c r="A50" s="14" t="s">
        <v>96</v>
      </c>
      <c r="B50" s="235" t="s">
        <v>185</v>
      </c>
      <c r="C50" s="235">
        <v>0</v>
      </c>
      <c r="D50" s="235" t="s">
        <v>1083</v>
      </c>
      <c r="E50" s="235" t="s">
        <v>822</v>
      </c>
      <c r="F50" s="235" t="s">
        <v>161</v>
      </c>
      <c r="G50" s="771">
        <f>VLOOKUP($A50,'Contracts '!$A$2:$J$87,10,FALSE)</f>
        <v>0</v>
      </c>
      <c r="H50" s="773">
        <v>0</v>
      </c>
      <c r="I50" s="774">
        <f t="shared" si="24"/>
        <v>0</v>
      </c>
      <c r="J50" s="325">
        <v>0.52</v>
      </c>
      <c r="K50" s="773">
        <f t="shared" si="25"/>
        <v>0</v>
      </c>
      <c r="L50" s="773">
        <f t="shared" si="17"/>
        <v>0</v>
      </c>
      <c r="M50" s="775">
        <f t="shared" si="26"/>
        <v>0</v>
      </c>
      <c r="N50" s="302">
        <v>0</v>
      </c>
      <c r="O50" s="303">
        <v>0</v>
      </c>
      <c r="P50" s="303">
        <v>0</v>
      </c>
      <c r="Q50" s="303">
        <v>0</v>
      </c>
      <c r="R50" s="303">
        <v>1</v>
      </c>
      <c r="S50" s="303">
        <v>0</v>
      </c>
      <c r="T50" s="303">
        <v>0</v>
      </c>
      <c r="U50" s="303">
        <v>0</v>
      </c>
      <c r="V50" s="298" t="str">
        <f t="shared" si="27"/>
        <v>ok</v>
      </c>
      <c r="W50" s="312" t="s">
        <v>706</v>
      </c>
      <c r="X50" s="778">
        <f>IF($W50="No",$M50*N50,$M50*N50*(1-'Policy Allocations'!G$7))</f>
        <v>0</v>
      </c>
      <c r="Y50" s="778">
        <f>IF($W50="No",$M50*O50,$M50*O50*(1-'Policy Allocations'!G$8))</f>
        <v>0</v>
      </c>
      <c r="Z50" s="778">
        <f>IF($W50="No",$M50*P50,$M50*P50*(1-'Policy Allocations'!G$9))</f>
        <v>0</v>
      </c>
      <c r="AA50" s="778">
        <f>IF($W50="No",$M50*Q50,$M50*Q50*(1-'Policy Allocations'!G$10))</f>
        <v>0</v>
      </c>
      <c r="AB50" s="778">
        <f>IF($W50="No",$M50*R50,$M50*R50*(1-'Policy Allocations'!G$11))</f>
        <v>0</v>
      </c>
      <c r="AC50" s="778">
        <f>IF($W50="No",$M50*S50,$M50*S50*(1-'Policy Allocations'!G$12))</f>
        <v>0</v>
      </c>
      <c r="AD50" s="778">
        <f>IF($W50="No",$M50*T50,$M50*T50*(1-'Policy Allocations'!G$13))</f>
        <v>0</v>
      </c>
      <c r="AE50" s="778">
        <f>IF($W50="No",$M50*U50,$M50*U50*(1-'Policy Allocations'!G$14))</f>
        <v>0</v>
      </c>
      <c r="AF50" s="778">
        <f t="shared" si="28"/>
        <v>0</v>
      </c>
      <c r="AG50" s="777">
        <f t="shared" si="29"/>
        <v>0</v>
      </c>
      <c r="AH50" s="232"/>
      <c r="AI50" s="5"/>
      <c r="AJ50" s="5"/>
    </row>
    <row r="51" spans="1:36" s="14" customFormat="1">
      <c r="A51" s="14" t="s">
        <v>97</v>
      </c>
      <c r="B51" s="235" t="s">
        <v>185</v>
      </c>
      <c r="C51" s="235">
        <v>0</v>
      </c>
      <c r="D51" s="235" t="s">
        <v>1083</v>
      </c>
      <c r="E51" s="235" t="s">
        <v>822</v>
      </c>
      <c r="F51" s="235" t="s">
        <v>1094</v>
      </c>
      <c r="G51" s="771">
        <f>VLOOKUP($A51,'Contracts '!$A$2:$J$87,10,FALSE)</f>
        <v>0</v>
      </c>
      <c r="H51" s="773">
        <v>0</v>
      </c>
      <c r="I51" s="774">
        <f t="shared" si="24"/>
        <v>0</v>
      </c>
      <c r="J51" s="325">
        <v>0.52</v>
      </c>
      <c r="K51" s="773">
        <f t="shared" si="25"/>
        <v>0</v>
      </c>
      <c r="L51" s="773">
        <f t="shared" si="17"/>
        <v>0</v>
      </c>
      <c r="M51" s="775">
        <f t="shared" si="26"/>
        <v>0</v>
      </c>
      <c r="N51" s="302">
        <v>0</v>
      </c>
      <c r="O51" s="303">
        <v>0</v>
      </c>
      <c r="P51" s="303">
        <v>0</v>
      </c>
      <c r="Q51" s="303">
        <v>0</v>
      </c>
      <c r="R51" s="303">
        <v>1</v>
      </c>
      <c r="S51" s="303">
        <v>0</v>
      </c>
      <c r="T51" s="303">
        <v>0</v>
      </c>
      <c r="U51" s="303">
        <v>0</v>
      </c>
      <c r="V51" s="298" t="str">
        <f t="shared" si="27"/>
        <v>ok</v>
      </c>
      <c r="W51" s="312" t="s">
        <v>706</v>
      </c>
      <c r="X51" s="778">
        <f>IF($W51="No",$M51*N51,$M51*N51*(1-'Policy Allocations'!G$7))</f>
        <v>0</v>
      </c>
      <c r="Y51" s="778">
        <f>IF($W51="No",$M51*O51,$M51*O51*(1-'Policy Allocations'!G$8))</f>
        <v>0</v>
      </c>
      <c r="Z51" s="778">
        <f>IF($W51="No",$M51*P51,$M51*P51*(1-'Policy Allocations'!G$9))</f>
        <v>0</v>
      </c>
      <c r="AA51" s="778">
        <f>IF($W51="No",$M51*Q51,$M51*Q51*(1-'Policy Allocations'!G$10))</f>
        <v>0</v>
      </c>
      <c r="AB51" s="778">
        <f>IF($W51="No",$M51*R51,$M51*R51*(1-'Policy Allocations'!G$11))</f>
        <v>0</v>
      </c>
      <c r="AC51" s="778">
        <f>IF($W51="No",$M51*S51,$M51*S51*(1-'Policy Allocations'!G$12))</f>
        <v>0</v>
      </c>
      <c r="AD51" s="778">
        <f>IF($W51="No",$M51*T51,$M51*T51*(1-'Policy Allocations'!G$13))</f>
        <v>0</v>
      </c>
      <c r="AE51" s="778">
        <f>IF($W51="No",$M51*U51,$M51*U51*(1-'Policy Allocations'!G$14))</f>
        <v>0</v>
      </c>
      <c r="AF51" s="778">
        <f t="shared" si="28"/>
        <v>0</v>
      </c>
      <c r="AG51" s="777">
        <f t="shared" si="29"/>
        <v>0</v>
      </c>
      <c r="AH51" s="232"/>
      <c r="AI51" s="5"/>
      <c r="AJ51" s="5"/>
    </row>
    <row r="52" spans="1:36" s="14" customFormat="1">
      <c r="A52" s="14" t="s">
        <v>176</v>
      </c>
      <c r="B52" s="235" t="s">
        <v>228</v>
      </c>
      <c r="C52" s="235" t="s">
        <v>237</v>
      </c>
      <c r="D52" s="235" t="s">
        <v>1083</v>
      </c>
      <c r="E52" s="235" t="s">
        <v>822</v>
      </c>
      <c r="F52" s="235" t="s">
        <v>584</v>
      </c>
      <c r="G52" s="771">
        <f>VLOOKUP($A52,'Contracts '!$A$2:$J$87,10,FALSE)</f>
        <v>0</v>
      </c>
      <c r="H52" s="773">
        <f>VLOOKUP(A52,'Contracts inf'!$A$3:$I$81,9,FALSE)</f>
        <v>0</v>
      </c>
      <c r="I52" s="774">
        <f t="shared" ref="I52:I84" si="30">SUM(G52:H52)</f>
        <v>0</v>
      </c>
      <c r="J52" s="325">
        <v>0.52</v>
      </c>
      <c r="K52" s="773">
        <f t="shared" ref="K52:K66" si="31">I52*(1-J52)</f>
        <v>0</v>
      </c>
      <c r="L52" s="773">
        <f t="shared" si="17"/>
        <v>0</v>
      </c>
      <c r="M52" s="775">
        <f t="shared" ref="M52:M83" si="32">SUM(K52:L52)</f>
        <v>0</v>
      </c>
      <c r="N52" s="302">
        <v>0</v>
      </c>
      <c r="O52" s="303">
        <v>0</v>
      </c>
      <c r="P52" s="303">
        <v>0</v>
      </c>
      <c r="Q52" s="303">
        <v>0</v>
      </c>
      <c r="R52" s="303">
        <v>1</v>
      </c>
      <c r="S52" s="303">
        <v>0</v>
      </c>
      <c r="T52" s="303">
        <v>0</v>
      </c>
      <c r="U52" s="303">
        <v>0</v>
      </c>
      <c r="V52" s="298" t="str">
        <f t="shared" ref="V52:V83" si="33">IF(SUM(N52:U52)&lt;&gt;1,"error","ok")</f>
        <v>ok</v>
      </c>
      <c r="W52" s="312" t="s">
        <v>713</v>
      </c>
      <c r="X52" s="778">
        <f>IF($W52="No",$M52*N52,$M52*N52*(1-'Policy Allocations'!G$7))</f>
        <v>0</v>
      </c>
      <c r="Y52" s="778">
        <f>IF($W52="No",$M52*O52,$M52*O52*(1-'Policy Allocations'!G$8))</f>
        <v>0</v>
      </c>
      <c r="Z52" s="778">
        <f>IF($W52="No",$M52*P52,$M52*P52*(1-'Policy Allocations'!G$9))</f>
        <v>0</v>
      </c>
      <c r="AA52" s="778">
        <f>IF($W52="No",$M52*Q52,$M52*Q52*(1-'Policy Allocations'!G$10))</f>
        <v>0</v>
      </c>
      <c r="AB52" s="778">
        <f>IF($W52="No",$M52*R52,$M52*R52*(1-'Policy Allocations'!G$11))</f>
        <v>0</v>
      </c>
      <c r="AC52" s="778">
        <f>IF($W52="No",$M52*S52,$M52*S52*(1-'Policy Allocations'!G$12))</f>
        <v>0</v>
      </c>
      <c r="AD52" s="778">
        <f>IF($W52="No",$M52*T52,$M52*T52*(1-'Policy Allocations'!G$13))</f>
        <v>0</v>
      </c>
      <c r="AE52" s="778">
        <f>IF($W52="No",$M52*U52,$M52*U52*(1-'Policy Allocations'!G$14))</f>
        <v>0</v>
      </c>
      <c r="AF52" s="778">
        <f t="shared" ref="AF52:AF66" si="34">M52-SUM(X52:AE52)</f>
        <v>0</v>
      </c>
      <c r="AG52" s="777">
        <f t="shared" ref="AG52:AG66" si="35">SUM(X52:AF52)</f>
        <v>0</v>
      </c>
      <c r="AH52" s="232"/>
      <c r="AI52" s="5"/>
      <c r="AJ52" s="5"/>
    </row>
    <row r="53" spans="1:36" s="14" customFormat="1">
      <c r="A53" s="14" t="s">
        <v>225</v>
      </c>
      <c r="B53" s="235" t="s">
        <v>224</v>
      </c>
      <c r="C53" s="235" t="s">
        <v>716</v>
      </c>
      <c r="D53" s="235" t="s">
        <v>1069</v>
      </c>
      <c r="E53" s="235" t="s">
        <v>787</v>
      </c>
      <c r="F53" s="235" t="s">
        <v>644</v>
      </c>
      <c r="G53" s="771">
        <f>VLOOKUP($A53,'Contracts '!$A$2:$J$87,10,FALSE)</f>
        <v>0</v>
      </c>
      <c r="H53" s="773">
        <f>VLOOKUP(A53,'Contracts inf'!$A$3:$I$81,9,FALSE)</f>
        <v>0</v>
      </c>
      <c r="I53" s="774">
        <f t="shared" si="30"/>
        <v>0</v>
      </c>
      <c r="J53" s="325">
        <v>0.52</v>
      </c>
      <c r="K53" s="773">
        <f t="shared" si="31"/>
        <v>0</v>
      </c>
      <c r="L53" s="773">
        <f t="shared" si="17"/>
        <v>0</v>
      </c>
      <c r="M53" s="775">
        <f t="shared" si="32"/>
        <v>0</v>
      </c>
      <c r="N53" s="302">
        <v>0</v>
      </c>
      <c r="O53" s="303">
        <v>0</v>
      </c>
      <c r="P53" s="303">
        <v>1</v>
      </c>
      <c r="Q53" s="303">
        <v>0</v>
      </c>
      <c r="R53" s="303">
        <v>0</v>
      </c>
      <c r="S53" s="303">
        <v>0</v>
      </c>
      <c r="T53" s="303">
        <v>0</v>
      </c>
      <c r="U53" s="303">
        <v>0</v>
      </c>
      <c r="V53" s="298" t="str">
        <f t="shared" si="33"/>
        <v>ok</v>
      </c>
      <c r="W53" s="312" t="s">
        <v>713</v>
      </c>
      <c r="X53" s="778">
        <f>IF($W53="No",$M53*N53,$M53*N53*(1-'Policy Allocations'!G$7))</f>
        <v>0</v>
      </c>
      <c r="Y53" s="778">
        <f>IF($W53="No",$M53*O53,$M53*O53*(1-'Policy Allocations'!G$8))</f>
        <v>0</v>
      </c>
      <c r="Z53" s="778">
        <f>IF($W53="No",$M53*P53,$M53*P53*(1-'Policy Allocations'!G$9))</f>
        <v>0</v>
      </c>
      <c r="AA53" s="778">
        <f>IF($W53="No",$M53*Q53,$M53*Q53*(1-'Policy Allocations'!G$10))</f>
        <v>0</v>
      </c>
      <c r="AB53" s="778">
        <f>IF($W53="No",$M53*R53,$M53*R53*(1-'Policy Allocations'!G$11))</f>
        <v>0</v>
      </c>
      <c r="AC53" s="778">
        <f>IF($W53="No",$M53*S53,$M53*S53*(1-'Policy Allocations'!G$12))</f>
        <v>0</v>
      </c>
      <c r="AD53" s="778">
        <f>IF($W53="No",$M53*T53,$M53*T53*(1-'Policy Allocations'!G$13))</f>
        <v>0</v>
      </c>
      <c r="AE53" s="778">
        <f>IF($W53="No",$M53*U53,$M53*U53*(1-'Policy Allocations'!G$14))</f>
        <v>0</v>
      </c>
      <c r="AF53" s="778">
        <f t="shared" si="34"/>
        <v>0</v>
      </c>
      <c r="AG53" s="777">
        <f t="shared" si="35"/>
        <v>0</v>
      </c>
      <c r="AH53" s="232"/>
      <c r="AI53" s="5"/>
      <c r="AJ53" s="5"/>
    </row>
    <row r="54" spans="1:36" s="14" customFormat="1">
      <c r="A54" s="14" t="s">
        <v>214</v>
      </c>
      <c r="B54" s="235" t="s">
        <v>213</v>
      </c>
      <c r="C54" s="235" t="s">
        <v>215</v>
      </c>
      <c r="D54" s="235" t="s">
        <v>1095</v>
      </c>
      <c r="E54" s="235" t="s">
        <v>738</v>
      </c>
      <c r="F54" s="235" t="s">
        <v>578</v>
      </c>
      <c r="G54" s="771">
        <f>VLOOKUP($A54,'Contracts '!$A$2:$J$87,10,FALSE)</f>
        <v>0</v>
      </c>
      <c r="H54" s="773">
        <f>VLOOKUP(A54,'Contracts inf'!$A$3:$I$81,9,FALSE)</f>
        <v>0</v>
      </c>
      <c r="I54" s="774">
        <f t="shared" si="30"/>
        <v>0</v>
      </c>
      <c r="J54" s="325">
        <v>0.52</v>
      </c>
      <c r="K54" s="773">
        <f t="shared" si="31"/>
        <v>0</v>
      </c>
      <c r="L54" s="773">
        <f t="shared" si="17"/>
        <v>0</v>
      </c>
      <c r="M54" s="775">
        <f t="shared" si="32"/>
        <v>0</v>
      </c>
      <c r="N54" s="302">
        <v>0</v>
      </c>
      <c r="O54" s="303">
        <v>0</v>
      </c>
      <c r="P54" s="303">
        <v>0</v>
      </c>
      <c r="Q54" s="303">
        <v>0</v>
      </c>
      <c r="R54" s="303">
        <v>0</v>
      </c>
      <c r="S54" s="303">
        <v>0.33339999999999997</v>
      </c>
      <c r="T54" s="303">
        <v>0.33329999999999999</v>
      </c>
      <c r="U54" s="303">
        <v>0.33329999999999999</v>
      </c>
      <c r="V54" s="298" t="str">
        <f t="shared" si="33"/>
        <v>ok</v>
      </c>
      <c r="W54" s="312" t="s">
        <v>706</v>
      </c>
      <c r="X54" s="778">
        <f>IF($W54="No",$M54*N54,$M54*N54*(1-'Policy Allocations'!G$7))</f>
        <v>0</v>
      </c>
      <c r="Y54" s="778">
        <f>IF($W54="No",$M54*O54,$M54*O54*(1-'Policy Allocations'!G$8))</f>
        <v>0</v>
      </c>
      <c r="Z54" s="778">
        <f>IF($W54="No",$M54*P54,$M54*P54*(1-'Policy Allocations'!G$9))</f>
        <v>0</v>
      </c>
      <c r="AA54" s="778">
        <f>IF($W54="No",$M54*Q54,$M54*Q54*(1-'Policy Allocations'!G$10))</f>
        <v>0</v>
      </c>
      <c r="AB54" s="778">
        <f>IF($W54="No",$M54*R54,$M54*R54*(1-'Policy Allocations'!G$11))</f>
        <v>0</v>
      </c>
      <c r="AC54" s="778">
        <f>IF($W54="No",$M54*S54,$M54*S54*(1-'Policy Allocations'!G$12))</f>
        <v>0</v>
      </c>
      <c r="AD54" s="778">
        <f>IF($W54="No",$M54*T54,$M54*T54*(1-'Policy Allocations'!G$13))</f>
        <v>0</v>
      </c>
      <c r="AE54" s="778">
        <f>IF($W54="No",$M54*U54,$M54*U54*(1-'Policy Allocations'!G$14))</f>
        <v>0</v>
      </c>
      <c r="AF54" s="778">
        <f t="shared" si="34"/>
        <v>0</v>
      </c>
      <c r="AG54" s="777">
        <f t="shared" si="35"/>
        <v>0</v>
      </c>
      <c r="AH54" s="232"/>
      <c r="AI54" s="5"/>
      <c r="AJ54" s="5"/>
    </row>
    <row r="55" spans="1:36" s="14" customFormat="1">
      <c r="A55" s="14" t="s">
        <v>216</v>
      </c>
      <c r="B55" s="235" t="s">
        <v>213</v>
      </c>
      <c r="C55" s="235" t="s">
        <v>217</v>
      </c>
      <c r="D55" s="235" t="s">
        <v>1095</v>
      </c>
      <c r="E55" s="235" t="s">
        <v>738</v>
      </c>
      <c r="F55" s="235" t="s">
        <v>576</v>
      </c>
      <c r="G55" s="771">
        <f>VLOOKUP($A55,'Contracts '!$A$2:$J$87,10,FALSE)</f>
        <v>0</v>
      </c>
      <c r="H55" s="773">
        <f>VLOOKUP(A55,'Contracts inf'!$A$3:$I$81,9,FALSE)</f>
        <v>0</v>
      </c>
      <c r="I55" s="774">
        <f t="shared" si="30"/>
        <v>0</v>
      </c>
      <c r="J55" s="325">
        <v>0.52</v>
      </c>
      <c r="K55" s="773">
        <f t="shared" si="31"/>
        <v>0</v>
      </c>
      <c r="L55" s="773">
        <f t="shared" si="17"/>
        <v>0</v>
      </c>
      <c r="M55" s="775">
        <f t="shared" si="32"/>
        <v>0</v>
      </c>
      <c r="N55" s="302">
        <v>0</v>
      </c>
      <c r="O55" s="303">
        <v>0</v>
      </c>
      <c r="P55" s="303">
        <v>0</v>
      </c>
      <c r="Q55" s="303">
        <v>0</v>
      </c>
      <c r="R55" s="303">
        <v>0</v>
      </c>
      <c r="S55" s="303">
        <v>1</v>
      </c>
      <c r="T55" s="303">
        <v>0</v>
      </c>
      <c r="U55" s="303">
        <v>0</v>
      </c>
      <c r="V55" s="298" t="str">
        <f t="shared" si="33"/>
        <v>ok</v>
      </c>
      <c r="W55" s="312" t="s">
        <v>713</v>
      </c>
      <c r="X55" s="778">
        <f>IF($W55="No",$M55*N55,$M55*N55*(1-'Policy Allocations'!G$7))</f>
        <v>0</v>
      </c>
      <c r="Y55" s="778">
        <f>IF($W55="No",$M55*O55,$M55*O55*(1-'Policy Allocations'!G$8))</f>
        <v>0</v>
      </c>
      <c r="Z55" s="778">
        <f>IF($W55="No",$M55*P55,$M55*P55*(1-'Policy Allocations'!G$9))</f>
        <v>0</v>
      </c>
      <c r="AA55" s="778">
        <f>IF($W55="No",$M55*Q55,$M55*Q55*(1-'Policy Allocations'!G$10))</f>
        <v>0</v>
      </c>
      <c r="AB55" s="778">
        <f>IF($W55="No",$M55*R55,$M55*R55*(1-'Policy Allocations'!G$11))</f>
        <v>0</v>
      </c>
      <c r="AC55" s="778">
        <f>IF($W55="No",$M55*S55,$M55*S55*(1-'Policy Allocations'!G$12))</f>
        <v>0</v>
      </c>
      <c r="AD55" s="778">
        <f>IF($W55="No",$M55*T55,$M55*T55*(1-'Policy Allocations'!G$13))</f>
        <v>0</v>
      </c>
      <c r="AE55" s="778">
        <f>IF($W55="No",$M55*U55,$M55*U55*(1-'Policy Allocations'!G$14))</f>
        <v>0</v>
      </c>
      <c r="AF55" s="778">
        <f t="shared" si="34"/>
        <v>0</v>
      </c>
      <c r="AG55" s="777">
        <f t="shared" si="35"/>
        <v>0</v>
      </c>
      <c r="AH55" s="232"/>
      <c r="AI55" s="5"/>
      <c r="AJ55" s="5"/>
    </row>
    <row r="56" spans="1:36" s="14" customFormat="1">
      <c r="A56" s="14" t="s">
        <v>218</v>
      </c>
      <c r="B56" s="235" t="s">
        <v>213</v>
      </c>
      <c r="C56" s="235" t="s">
        <v>219</v>
      </c>
      <c r="D56" s="235" t="s">
        <v>1095</v>
      </c>
      <c r="E56" s="235" t="s">
        <v>738</v>
      </c>
      <c r="F56" s="235" t="s">
        <v>577</v>
      </c>
      <c r="G56" s="771">
        <f>VLOOKUP($A56,'Contracts '!$A$2:$J$87,10,FALSE)</f>
        <v>0</v>
      </c>
      <c r="H56" s="773">
        <f>VLOOKUP(A56,'Contracts inf'!$A$3:$I$81,9,FALSE)</f>
        <v>0</v>
      </c>
      <c r="I56" s="774">
        <f t="shared" si="30"/>
        <v>0</v>
      </c>
      <c r="J56" s="325">
        <v>0.52</v>
      </c>
      <c r="K56" s="773">
        <f t="shared" si="31"/>
        <v>0</v>
      </c>
      <c r="L56" s="773">
        <f t="shared" si="17"/>
        <v>0</v>
      </c>
      <c r="M56" s="775">
        <f t="shared" si="32"/>
        <v>0</v>
      </c>
      <c r="N56" s="302">
        <v>0</v>
      </c>
      <c r="O56" s="303">
        <v>0</v>
      </c>
      <c r="P56" s="303">
        <v>0</v>
      </c>
      <c r="Q56" s="303">
        <v>0</v>
      </c>
      <c r="R56" s="303">
        <v>0</v>
      </c>
      <c r="S56" s="303">
        <v>0</v>
      </c>
      <c r="T56" s="303">
        <v>0</v>
      </c>
      <c r="U56" s="303">
        <v>1</v>
      </c>
      <c r="V56" s="298" t="str">
        <f t="shared" si="33"/>
        <v>ok</v>
      </c>
      <c r="W56" s="312" t="s">
        <v>706</v>
      </c>
      <c r="X56" s="778">
        <f>IF($W56="No",$M56*N56,$M56*N56*(1-'Policy Allocations'!G$7))</f>
        <v>0</v>
      </c>
      <c r="Y56" s="778">
        <f>IF($W56="No",$M56*O56,$M56*O56*(1-'Policy Allocations'!G$8))</f>
        <v>0</v>
      </c>
      <c r="Z56" s="778">
        <f>IF($W56="No",$M56*P56,$M56*P56*(1-'Policy Allocations'!G$9))</f>
        <v>0</v>
      </c>
      <c r="AA56" s="778">
        <f>IF($W56="No",$M56*Q56,$M56*Q56*(1-'Policy Allocations'!G$10))</f>
        <v>0</v>
      </c>
      <c r="AB56" s="778">
        <f>IF($W56="No",$M56*R56,$M56*R56*(1-'Policy Allocations'!G$11))</f>
        <v>0</v>
      </c>
      <c r="AC56" s="778">
        <f>IF($W56="No",$M56*S56,$M56*S56*(1-'Policy Allocations'!G$12))</f>
        <v>0</v>
      </c>
      <c r="AD56" s="778">
        <f>IF($W56="No",$M56*T56,$M56*T56*(1-'Policy Allocations'!G$13))</f>
        <v>0</v>
      </c>
      <c r="AE56" s="778">
        <f>IF($W56="No",$M56*U56,$M56*U56*(1-'Policy Allocations'!G$14))</f>
        <v>0</v>
      </c>
      <c r="AF56" s="778">
        <f t="shared" si="34"/>
        <v>0</v>
      </c>
      <c r="AG56" s="777">
        <f t="shared" si="35"/>
        <v>0</v>
      </c>
      <c r="AH56" s="232"/>
      <c r="AI56" s="5"/>
      <c r="AJ56" s="5"/>
    </row>
    <row r="57" spans="1:36" s="14" customFormat="1">
      <c r="A57" s="14" t="s">
        <v>589</v>
      </c>
      <c r="B57" s="235" t="s">
        <v>213</v>
      </c>
      <c r="C57" s="235" t="s">
        <v>219</v>
      </c>
      <c r="D57" s="235" t="s">
        <v>1095</v>
      </c>
      <c r="E57" s="235" t="s">
        <v>738</v>
      </c>
      <c r="F57" s="235" t="s">
        <v>587</v>
      </c>
      <c r="G57" s="771">
        <f>VLOOKUP($A57,'Contracts '!$A$2:$J$87,10,FALSE)</f>
        <v>0</v>
      </c>
      <c r="H57" s="773">
        <v>0</v>
      </c>
      <c r="I57" s="774">
        <f>SUM(G57:H57)</f>
        <v>0</v>
      </c>
      <c r="J57" s="325">
        <v>0.52</v>
      </c>
      <c r="K57" s="773">
        <f>I57*(1-J57)</f>
        <v>0</v>
      </c>
      <c r="L57" s="773">
        <f t="shared" si="17"/>
        <v>0</v>
      </c>
      <c r="M57" s="775">
        <f>SUM(K57:L57)</f>
        <v>0</v>
      </c>
      <c r="N57" s="302"/>
      <c r="O57" s="303"/>
      <c r="P57" s="303"/>
      <c r="Q57" s="303"/>
      <c r="R57" s="303"/>
      <c r="S57" s="303"/>
      <c r="T57" s="303"/>
      <c r="U57" s="303">
        <v>1</v>
      </c>
      <c r="V57" s="298" t="str">
        <f>IF(SUM(N57:U57)&lt;&gt;1,"error","ok")</f>
        <v>ok</v>
      </c>
      <c r="W57" s="312" t="s">
        <v>706</v>
      </c>
      <c r="X57" s="778">
        <f>IF($W57="No",$M57*N57,$M57*N57*(1-'Policy Allocations'!G$7))</f>
        <v>0</v>
      </c>
      <c r="Y57" s="778">
        <f>IF($W57="No",$M57*O57,$M57*O57*(1-'Policy Allocations'!G$8))</f>
        <v>0</v>
      </c>
      <c r="Z57" s="778">
        <f>IF($W57="No",$M57*P57,$M57*P57*(1-'Policy Allocations'!G$9))</f>
        <v>0</v>
      </c>
      <c r="AA57" s="778">
        <f>IF($W57="No",$M57*Q57,$M57*Q57*(1-'Policy Allocations'!G$10))</f>
        <v>0</v>
      </c>
      <c r="AB57" s="778">
        <f>IF($W57="No",$M57*R57,$M57*R57*(1-'Policy Allocations'!G$11))</f>
        <v>0</v>
      </c>
      <c r="AC57" s="778">
        <f>IF($W57="No",$M57*S57,$M57*S57*(1-'Policy Allocations'!G$12))</f>
        <v>0</v>
      </c>
      <c r="AD57" s="778">
        <f>IF($W57="No",$M57*T57,$M57*T57*(1-'Policy Allocations'!G$13))</f>
        <v>0</v>
      </c>
      <c r="AE57" s="778">
        <f>IF($W57="No",$M57*U57,$M57*U57*(1-'Policy Allocations'!G$14))</f>
        <v>0</v>
      </c>
      <c r="AF57" s="778">
        <f>M57-SUM(X57:AE57)</f>
        <v>0</v>
      </c>
      <c r="AG57" s="777">
        <f>SUM(X57:AF57)</f>
        <v>0</v>
      </c>
      <c r="AH57" s="232"/>
      <c r="AI57" s="5"/>
      <c r="AJ57" s="5"/>
    </row>
    <row r="58" spans="1:36" s="14" customFormat="1">
      <c r="A58" s="14" t="s">
        <v>970</v>
      </c>
      <c r="B58" s="235" t="s">
        <v>213</v>
      </c>
      <c r="C58" s="235" t="s">
        <v>580</v>
      </c>
      <c r="D58" s="235" t="s">
        <v>1095</v>
      </c>
      <c r="E58" s="235" t="s">
        <v>738</v>
      </c>
      <c r="F58" s="235" t="s">
        <v>579</v>
      </c>
      <c r="G58" s="771">
        <f>VLOOKUP($A58,'Contracts '!$A$2:$J$87,10,FALSE)</f>
        <v>0</v>
      </c>
      <c r="H58" s="773">
        <f>VLOOKUP(A58,'Contracts inf'!$A$3:$I$81,9,FALSE)</f>
        <v>0</v>
      </c>
      <c r="I58" s="774">
        <f t="shared" si="30"/>
        <v>0</v>
      </c>
      <c r="J58" s="325">
        <v>0.52</v>
      </c>
      <c r="K58" s="773">
        <f t="shared" si="31"/>
        <v>0</v>
      </c>
      <c r="L58" s="773">
        <f t="shared" si="17"/>
        <v>0</v>
      </c>
      <c r="M58" s="775">
        <f t="shared" si="32"/>
        <v>0</v>
      </c>
      <c r="N58" s="302">
        <v>0</v>
      </c>
      <c r="O58" s="303">
        <v>0</v>
      </c>
      <c r="P58" s="303">
        <v>0</v>
      </c>
      <c r="Q58" s="303">
        <v>0</v>
      </c>
      <c r="R58" s="303">
        <v>0</v>
      </c>
      <c r="S58" s="303">
        <v>0</v>
      </c>
      <c r="T58" s="303">
        <v>0</v>
      </c>
      <c r="U58" s="303">
        <v>1</v>
      </c>
      <c r="V58" s="298" t="str">
        <f t="shared" si="33"/>
        <v>ok</v>
      </c>
      <c r="W58" s="312" t="s">
        <v>706</v>
      </c>
      <c r="X58" s="778">
        <f>IF($W58="No",$M58*N58,$M58*N58*(1-'Policy Allocations'!G$7))</f>
        <v>0</v>
      </c>
      <c r="Y58" s="778">
        <f>IF($W58="No",$M58*O58,$M58*O58*(1-'Policy Allocations'!G$8))</f>
        <v>0</v>
      </c>
      <c r="Z58" s="778">
        <f>IF($W58="No",$M58*P58,$M58*P58*(1-'Policy Allocations'!G$9))</f>
        <v>0</v>
      </c>
      <c r="AA58" s="778">
        <f>IF($W58="No",$M58*Q58,$M58*Q58*(1-'Policy Allocations'!G$10))</f>
        <v>0</v>
      </c>
      <c r="AB58" s="778">
        <f>IF($W58="No",$M58*R58,$M58*R58*(1-'Policy Allocations'!G$11))</f>
        <v>0</v>
      </c>
      <c r="AC58" s="778">
        <f>IF($W58="No",$M58*S58,$M58*S58*(1-'Policy Allocations'!G$12))</f>
        <v>0</v>
      </c>
      <c r="AD58" s="778">
        <f>IF($W58="No",$M58*T58,$M58*T58*(1-'Policy Allocations'!G$13))</f>
        <v>0</v>
      </c>
      <c r="AE58" s="778">
        <f>IF($W58="No",$M58*U58,$M58*U58*(1-'Policy Allocations'!G$14))</f>
        <v>0</v>
      </c>
      <c r="AF58" s="778">
        <f t="shared" si="34"/>
        <v>0</v>
      </c>
      <c r="AG58" s="777">
        <f t="shared" si="35"/>
        <v>0</v>
      </c>
      <c r="AH58" s="232"/>
      <c r="AI58" s="5"/>
      <c r="AJ58" s="5"/>
    </row>
    <row r="59" spans="1:36" s="14" customFormat="1">
      <c r="A59" s="14" t="s">
        <v>582</v>
      </c>
      <c r="B59" s="235" t="s">
        <v>213</v>
      </c>
      <c r="C59" s="235" t="s">
        <v>583</v>
      </c>
      <c r="D59" s="235" t="s">
        <v>1095</v>
      </c>
      <c r="E59" s="235" t="s">
        <v>738</v>
      </c>
      <c r="F59" s="235" t="s">
        <v>581</v>
      </c>
      <c r="G59" s="771">
        <f>VLOOKUP($A59,'Contracts '!$A$2:$J$87,10,FALSE)</f>
        <v>0</v>
      </c>
      <c r="H59" s="773">
        <f>VLOOKUP(A59,'Contracts inf'!$A$3:$I$81,9,FALSE)</f>
        <v>0</v>
      </c>
      <c r="I59" s="774">
        <f>SUM(G59:H59)</f>
        <v>0</v>
      </c>
      <c r="J59" s="325">
        <v>0.52</v>
      </c>
      <c r="K59" s="773">
        <f>I59*(1-J59)</f>
        <v>0</v>
      </c>
      <c r="L59" s="773">
        <f t="shared" si="17"/>
        <v>0</v>
      </c>
      <c r="M59" s="775">
        <f>SUM(K59:L59)</f>
        <v>0</v>
      </c>
      <c r="N59" s="302">
        <v>0</v>
      </c>
      <c r="O59" s="303">
        <v>0</v>
      </c>
      <c r="P59" s="303">
        <v>0</v>
      </c>
      <c r="Q59" s="303">
        <v>0</v>
      </c>
      <c r="R59" s="303">
        <v>0</v>
      </c>
      <c r="S59" s="303">
        <v>0.33339999999999997</v>
      </c>
      <c r="T59" s="303">
        <v>0.33329999999999999</v>
      </c>
      <c r="U59" s="303">
        <v>0.33329999999999999</v>
      </c>
      <c r="V59" s="298" t="str">
        <f>IF(SUM(N59:U59)&lt;&gt;1,"error","ok")</f>
        <v>ok</v>
      </c>
      <c r="W59" s="312" t="s">
        <v>706</v>
      </c>
      <c r="X59" s="778">
        <f>IF($W59="No",$M59*N59,$M59*N59*(1-'Policy Allocations'!G$7))</f>
        <v>0</v>
      </c>
      <c r="Y59" s="778">
        <f>IF($W59="No",$M59*O59,$M59*O59*(1-'Policy Allocations'!G$8))</f>
        <v>0</v>
      </c>
      <c r="Z59" s="778">
        <f>IF($W59="No",$M59*P59,$M59*P59*(1-'Policy Allocations'!G$9))</f>
        <v>0</v>
      </c>
      <c r="AA59" s="778">
        <f>IF($W59="No",$M59*Q59,$M59*Q59*(1-'Policy Allocations'!G$10))</f>
        <v>0</v>
      </c>
      <c r="AB59" s="778">
        <f>IF($W59="No",$M59*R59,$M59*R59*(1-'Policy Allocations'!G$11))</f>
        <v>0</v>
      </c>
      <c r="AC59" s="778">
        <f>IF($W59="No",$M59*S59,$M59*S59*(1-'Policy Allocations'!G$12))</f>
        <v>0</v>
      </c>
      <c r="AD59" s="778">
        <f>IF($W59="No",$M59*T59,$M59*T59*(1-'Policy Allocations'!G$13))</f>
        <v>0</v>
      </c>
      <c r="AE59" s="778">
        <f>IF($W59="No",$M59*U59,$M59*U59*(1-'Policy Allocations'!G$14))</f>
        <v>0</v>
      </c>
      <c r="AF59" s="778">
        <f>M59-SUM(X59:AE59)</f>
        <v>0</v>
      </c>
      <c r="AG59" s="777">
        <f>SUM(X59:AF59)</f>
        <v>0</v>
      </c>
      <c r="AH59" s="232"/>
      <c r="AI59" s="5"/>
      <c r="AJ59" s="5"/>
    </row>
    <row r="60" spans="1:36" s="14" customFormat="1">
      <c r="A60" s="14" t="s">
        <v>962</v>
      </c>
      <c r="B60" s="235" t="s">
        <v>82</v>
      </c>
      <c r="C60" s="235" t="s">
        <v>753</v>
      </c>
      <c r="D60" s="235" t="s">
        <v>1065</v>
      </c>
      <c r="E60" s="235" t="s">
        <v>80</v>
      </c>
      <c r="F60" s="235" t="s">
        <v>961</v>
      </c>
      <c r="G60" s="771">
        <f>VLOOKUP($A60,'Contracts '!$A$2:$J$87,10,FALSE)</f>
        <v>0</v>
      </c>
      <c r="H60" s="773">
        <f>VLOOKUP(A60,'Contracts inf'!$A$3:$I$81,9,FALSE)</f>
        <v>0</v>
      </c>
      <c r="I60" s="774">
        <f t="shared" si="30"/>
        <v>0</v>
      </c>
      <c r="J60" s="325">
        <v>0.52</v>
      </c>
      <c r="K60" s="773">
        <f t="shared" si="31"/>
        <v>0</v>
      </c>
      <c r="L60" s="773">
        <f t="shared" si="17"/>
        <v>0</v>
      </c>
      <c r="M60" s="775">
        <f t="shared" si="32"/>
        <v>0</v>
      </c>
      <c r="N60" s="302">
        <v>1</v>
      </c>
      <c r="O60" s="303">
        <v>0</v>
      </c>
      <c r="P60" s="303">
        <v>0</v>
      </c>
      <c r="Q60" s="303">
        <v>0</v>
      </c>
      <c r="R60" s="303">
        <v>0</v>
      </c>
      <c r="S60" s="303">
        <v>0</v>
      </c>
      <c r="T60" s="303">
        <v>0</v>
      </c>
      <c r="U60" s="303">
        <v>0</v>
      </c>
      <c r="V60" s="298" t="str">
        <f t="shared" si="33"/>
        <v>ok</v>
      </c>
      <c r="W60" s="312" t="s">
        <v>713</v>
      </c>
      <c r="X60" s="778">
        <f>IF($W60="No",$M60*N60,$M60*N60*(1-'Policy Allocations'!G$7))</f>
        <v>0</v>
      </c>
      <c r="Y60" s="778">
        <f>IF($W60="No",$M60*O60,$M60*O60*(1-'Policy Allocations'!G$8))</f>
        <v>0</v>
      </c>
      <c r="Z60" s="778">
        <f>IF($W60="No",$M60*P60,$M60*P60*(1-'Policy Allocations'!G$9))</f>
        <v>0</v>
      </c>
      <c r="AA60" s="778">
        <f>IF($W60="No",$M60*Q60,$M60*Q60*(1-'Policy Allocations'!G$10))</f>
        <v>0</v>
      </c>
      <c r="AB60" s="778">
        <f>IF($W60="No",$M60*R60,$M60*R60*(1-'Policy Allocations'!G$11))</f>
        <v>0</v>
      </c>
      <c r="AC60" s="778">
        <f>IF($W60="No",$M60*S60,$M60*S60*(1-'Policy Allocations'!G$12))</f>
        <v>0</v>
      </c>
      <c r="AD60" s="778">
        <f>IF($W60="No",$M60*T60,$M60*T60*(1-'Policy Allocations'!G$13))</f>
        <v>0</v>
      </c>
      <c r="AE60" s="778">
        <f>IF($W60="No",$M60*U60,$M60*U60*(1-'Policy Allocations'!G$14))</f>
        <v>0</v>
      </c>
      <c r="AF60" s="778">
        <f t="shared" si="34"/>
        <v>0</v>
      </c>
      <c r="AG60" s="777">
        <f t="shared" si="35"/>
        <v>0</v>
      </c>
      <c r="AH60" s="232"/>
      <c r="AI60" s="5"/>
      <c r="AJ60" s="5"/>
    </row>
    <row r="61" spans="1:36" s="14" customFormat="1">
      <c r="A61" s="14" t="s">
        <v>130</v>
      </c>
      <c r="B61" s="235" t="s">
        <v>82</v>
      </c>
      <c r="C61" s="235" t="s">
        <v>754</v>
      </c>
      <c r="D61" s="235" t="s">
        <v>1065</v>
      </c>
      <c r="E61" s="235" t="s">
        <v>80</v>
      </c>
      <c r="F61" s="235" t="s">
        <v>963</v>
      </c>
      <c r="G61" s="771">
        <f>VLOOKUP($A61,'Contracts '!$A$2:$J$87,10,FALSE)</f>
        <v>0</v>
      </c>
      <c r="H61" s="773">
        <f>VLOOKUP(A61,'Contracts inf'!$A$3:$I$81,9,FALSE)</f>
        <v>0</v>
      </c>
      <c r="I61" s="774">
        <f t="shared" si="30"/>
        <v>0</v>
      </c>
      <c r="J61" s="325">
        <v>0.52</v>
      </c>
      <c r="K61" s="773">
        <f t="shared" si="31"/>
        <v>0</v>
      </c>
      <c r="L61" s="773">
        <f t="shared" ref="L61:L88" si="36">$K$106*K61/$K$100</f>
        <v>0</v>
      </c>
      <c r="M61" s="775">
        <f t="shared" si="32"/>
        <v>0</v>
      </c>
      <c r="N61" s="302">
        <v>1</v>
      </c>
      <c r="O61" s="303">
        <v>0</v>
      </c>
      <c r="P61" s="303">
        <v>0</v>
      </c>
      <c r="Q61" s="303">
        <v>0</v>
      </c>
      <c r="R61" s="303">
        <v>0</v>
      </c>
      <c r="S61" s="303">
        <v>0</v>
      </c>
      <c r="T61" s="303">
        <v>0</v>
      </c>
      <c r="U61" s="303">
        <v>0</v>
      </c>
      <c r="V61" s="298" t="str">
        <f t="shared" si="33"/>
        <v>ok</v>
      </c>
      <c r="W61" s="312" t="s">
        <v>713</v>
      </c>
      <c r="X61" s="778">
        <f>IF($W61="No",$M61*N61,$M61*N61*(1-'Policy Allocations'!G$7))</f>
        <v>0</v>
      </c>
      <c r="Y61" s="778">
        <f>IF($W61="No",$M61*O61,$M61*O61*(1-'Policy Allocations'!G$8))</f>
        <v>0</v>
      </c>
      <c r="Z61" s="778">
        <f>IF($W61="No",$M61*P61,$M61*P61*(1-'Policy Allocations'!G$9))</f>
        <v>0</v>
      </c>
      <c r="AA61" s="778">
        <f>IF($W61="No",$M61*Q61,$M61*Q61*(1-'Policy Allocations'!G$10))</f>
        <v>0</v>
      </c>
      <c r="AB61" s="778">
        <f>IF($W61="No",$M61*R61,$M61*R61*(1-'Policy Allocations'!G$11))</f>
        <v>0</v>
      </c>
      <c r="AC61" s="778">
        <f>IF($W61="No",$M61*S61,$M61*S61*(1-'Policy Allocations'!G$12))</f>
        <v>0</v>
      </c>
      <c r="AD61" s="778">
        <f>IF($W61="No",$M61*T61,$M61*T61*(1-'Policy Allocations'!G$13))</f>
        <v>0</v>
      </c>
      <c r="AE61" s="778">
        <f>IF($W61="No",$M61*U61,$M61*U61*(1-'Policy Allocations'!G$14))</f>
        <v>0</v>
      </c>
      <c r="AF61" s="778">
        <f t="shared" si="34"/>
        <v>0</v>
      </c>
      <c r="AG61" s="777">
        <f t="shared" si="35"/>
        <v>0</v>
      </c>
      <c r="AH61" s="232"/>
      <c r="AI61" s="5"/>
      <c r="AJ61" s="5"/>
    </row>
    <row r="62" spans="1:36" s="14" customFormat="1">
      <c r="A62" s="14" t="s">
        <v>131</v>
      </c>
      <c r="B62" s="235" t="s">
        <v>82</v>
      </c>
      <c r="C62" s="235" t="s">
        <v>755</v>
      </c>
      <c r="D62" s="235" t="s">
        <v>1065</v>
      </c>
      <c r="E62" s="235" t="s">
        <v>80</v>
      </c>
      <c r="F62" s="235" t="s">
        <v>964</v>
      </c>
      <c r="G62" s="771">
        <f>VLOOKUP($A62,'Contracts '!$A$2:$J$87,10,FALSE)</f>
        <v>0</v>
      </c>
      <c r="H62" s="773">
        <f>VLOOKUP(A62,'Contracts inf'!$A$3:$I$81,9,FALSE)</f>
        <v>0</v>
      </c>
      <c r="I62" s="774">
        <f t="shared" si="30"/>
        <v>0</v>
      </c>
      <c r="J62" s="325">
        <v>0.52</v>
      </c>
      <c r="K62" s="773">
        <f t="shared" si="31"/>
        <v>0</v>
      </c>
      <c r="L62" s="773">
        <f t="shared" si="36"/>
        <v>0</v>
      </c>
      <c r="M62" s="775">
        <f t="shared" si="32"/>
        <v>0</v>
      </c>
      <c r="N62" s="302">
        <v>1</v>
      </c>
      <c r="O62" s="303">
        <v>0</v>
      </c>
      <c r="P62" s="303">
        <v>0</v>
      </c>
      <c r="Q62" s="303">
        <v>0</v>
      </c>
      <c r="R62" s="303">
        <v>0</v>
      </c>
      <c r="S62" s="303">
        <v>0</v>
      </c>
      <c r="T62" s="303">
        <v>0</v>
      </c>
      <c r="U62" s="303">
        <v>0</v>
      </c>
      <c r="V62" s="298" t="str">
        <f t="shared" si="33"/>
        <v>ok</v>
      </c>
      <c r="W62" s="312" t="s">
        <v>713</v>
      </c>
      <c r="X62" s="778">
        <f>IF($W62="No",$M62*N62,$M62*N62*(1-'Policy Allocations'!G$7))</f>
        <v>0</v>
      </c>
      <c r="Y62" s="778">
        <f>IF($W62="No",$M62*O62,$M62*O62*(1-'Policy Allocations'!G$8))</f>
        <v>0</v>
      </c>
      <c r="Z62" s="778">
        <f>IF($W62="No",$M62*P62,$M62*P62*(1-'Policy Allocations'!G$9))</f>
        <v>0</v>
      </c>
      <c r="AA62" s="778">
        <f>IF($W62="No",$M62*Q62,$M62*Q62*(1-'Policy Allocations'!G$10))</f>
        <v>0</v>
      </c>
      <c r="AB62" s="778">
        <f>IF($W62="No",$M62*R62,$M62*R62*(1-'Policy Allocations'!G$11))</f>
        <v>0</v>
      </c>
      <c r="AC62" s="778">
        <f>IF($W62="No",$M62*S62,$M62*S62*(1-'Policy Allocations'!G$12))</f>
        <v>0</v>
      </c>
      <c r="AD62" s="778">
        <f>IF($W62="No",$M62*T62,$M62*T62*(1-'Policy Allocations'!G$13))</f>
        <v>0</v>
      </c>
      <c r="AE62" s="778">
        <f>IF($W62="No",$M62*U62,$M62*U62*(1-'Policy Allocations'!G$14))</f>
        <v>0</v>
      </c>
      <c r="AF62" s="778">
        <f t="shared" si="34"/>
        <v>0</v>
      </c>
      <c r="AG62" s="777">
        <f t="shared" si="35"/>
        <v>0</v>
      </c>
      <c r="AH62" s="232"/>
      <c r="AI62" s="5"/>
      <c r="AJ62" s="5"/>
    </row>
    <row r="63" spans="1:36" s="14" customFormat="1">
      <c r="A63" s="14" t="s">
        <v>132</v>
      </c>
      <c r="B63" s="235" t="s">
        <v>82</v>
      </c>
      <c r="C63" s="235" t="s">
        <v>756</v>
      </c>
      <c r="D63" s="235" t="s">
        <v>1065</v>
      </c>
      <c r="E63" s="235" t="s">
        <v>80</v>
      </c>
      <c r="F63" s="235" t="s">
        <v>965</v>
      </c>
      <c r="G63" s="771">
        <f>VLOOKUP($A63,'Contracts '!$A$2:$J$87,10,FALSE)</f>
        <v>0</v>
      </c>
      <c r="H63" s="773">
        <f>VLOOKUP(A63,'Contracts inf'!$A$3:$I$81,9,FALSE)</f>
        <v>0</v>
      </c>
      <c r="I63" s="774">
        <f t="shared" si="30"/>
        <v>0</v>
      </c>
      <c r="J63" s="325">
        <v>0.52</v>
      </c>
      <c r="K63" s="773">
        <f t="shared" si="31"/>
        <v>0</v>
      </c>
      <c r="L63" s="773">
        <f t="shared" si="36"/>
        <v>0</v>
      </c>
      <c r="M63" s="775">
        <f t="shared" si="32"/>
        <v>0</v>
      </c>
      <c r="N63" s="302">
        <v>1</v>
      </c>
      <c r="O63" s="303">
        <v>0</v>
      </c>
      <c r="P63" s="303">
        <v>0</v>
      </c>
      <c r="Q63" s="303">
        <v>0</v>
      </c>
      <c r="R63" s="303">
        <v>0</v>
      </c>
      <c r="S63" s="303">
        <v>0</v>
      </c>
      <c r="T63" s="303">
        <v>0</v>
      </c>
      <c r="U63" s="303">
        <v>0</v>
      </c>
      <c r="V63" s="298" t="str">
        <f t="shared" si="33"/>
        <v>ok</v>
      </c>
      <c r="W63" s="312" t="s">
        <v>713</v>
      </c>
      <c r="X63" s="778">
        <f>IF($W63="No",$M63*N63,$M63*N63*(1-'Policy Allocations'!G$7))</f>
        <v>0</v>
      </c>
      <c r="Y63" s="778">
        <f>IF($W63="No",$M63*O63,$M63*O63*(1-'Policy Allocations'!G$8))</f>
        <v>0</v>
      </c>
      <c r="Z63" s="778">
        <f>IF($W63="No",$M63*P63,$M63*P63*(1-'Policy Allocations'!G$9))</f>
        <v>0</v>
      </c>
      <c r="AA63" s="778">
        <f>IF($W63="No",$M63*Q63,$M63*Q63*(1-'Policy Allocations'!G$10))</f>
        <v>0</v>
      </c>
      <c r="AB63" s="778">
        <f>IF($W63="No",$M63*R63,$M63*R63*(1-'Policy Allocations'!G$11))</f>
        <v>0</v>
      </c>
      <c r="AC63" s="778">
        <f>IF($W63="No",$M63*S63,$M63*S63*(1-'Policy Allocations'!G$12))</f>
        <v>0</v>
      </c>
      <c r="AD63" s="778">
        <f>IF($W63="No",$M63*T63,$M63*T63*(1-'Policy Allocations'!G$13))</f>
        <v>0</v>
      </c>
      <c r="AE63" s="778">
        <f>IF($W63="No",$M63*U63,$M63*U63*(1-'Policy Allocations'!G$14))</f>
        <v>0</v>
      </c>
      <c r="AF63" s="778">
        <f t="shared" si="34"/>
        <v>0</v>
      </c>
      <c r="AG63" s="777">
        <f t="shared" si="35"/>
        <v>0</v>
      </c>
      <c r="AH63" s="232"/>
      <c r="AI63" s="5"/>
      <c r="AJ63" s="5"/>
    </row>
    <row r="64" spans="1:36" s="14" customFormat="1">
      <c r="A64" s="14" t="s">
        <v>133</v>
      </c>
      <c r="B64" s="235" t="s">
        <v>82</v>
      </c>
      <c r="C64" s="235" t="s">
        <v>758</v>
      </c>
      <c r="D64" s="235" t="s">
        <v>1065</v>
      </c>
      <c r="E64" s="235" t="s">
        <v>80</v>
      </c>
      <c r="F64" s="235" t="s">
        <v>966</v>
      </c>
      <c r="G64" s="771">
        <f>VLOOKUP($A64,'Contracts '!$A$2:$J$87,10,FALSE)</f>
        <v>0</v>
      </c>
      <c r="H64" s="773">
        <f>VLOOKUP(A64,'Contracts inf'!$A$3:$I$81,9,FALSE)</f>
        <v>0</v>
      </c>
      <c r="I64" s="774">
        <f t="shared" si="30"/>
        <v>0</v>
      </c>
      <c r="J64" s="325">
        <v>0.52</v>
      </c>
      <c r="K64" s="773">
        <f t="shared" si="31"/>
        <v>0</v>
      </c>
      <c r="L64" s="773">
        <f t="shared" si="36"/>
        <v>0</v>
      </c>
      <c r="M64" s="775">
        <f t="shared" si="32"/>
        <v>0</v>
      </c>
      <c r="N64" s="302">
        <v>1</v>
      </c>
      <c r="O64" s="303">
        <v>0</v>
      </c>
      <c r="P64" s="303">
        <v>0</v>
      </c>
      <c r="Q64" s="303">
        <v>0</v>
      </c>
      <c r="R64" s="303">
        <v>0</v>
      </c>
      <c r="S64" s="303">
        <v>0</v>
      </c>
      <c r="T64" s="303">
        <v>0</v>
      </c>
      <c r="U64" s="303">
        <v>0</v>
      </c>
      <c r="V64" s="298" t="str">
        <f t="shared" si="33"/>
        <v>ok</v>
      </c>
      <c r="W64" s="312" t="s">
        <v>713</v>
      </c>
      <c r="X64" s="778">
        <f>IF($W64="No",$M64*N64,$M64*N64*(1-'Policy Allocations'!G$7))</f>
        <v>0</v>
      </c>
      <c r="Y64" s="778">
        <f>IF($W64="No",$M64*O64,$M64*O64*(1-'Policy Allocations'!G$8))</f>
        <v>0</v>
      </c>
      <c r="Z64" s="778">
        <f>IF($W64="No",$M64*P64,$M64*P64*(1-'Policy Allocations'!G$9))</f>
        <v>0</v>
      </c>
      <c r="AA64" s="778">
        <f>IF($W64="No",$M64*Q64,$M64*Q64*(1-'Policy Allocations'!G$10))</f>
        <v>0</v>
      </c>
      <c r="AB64" s="778">
        <f>IF($W64="No",$M64*R64,$M64*R64*(1-'Policy Allocations'!G$11))</f>
        <v>0</v>
      </c>
      <c r="AC64" s="778">
        <f>IF($W64="No",$M64*S64,$M64*S64*(1-'Policy Allocations'!G$12))</f>
        <v>0</v>
      </c>
      <c r="AD64" s="778">
        <f>IF($W64="No",$M64*T64,$M64*T64*(1-'Policy Allocations'!G$13))</f>
        <v>0</v>
      </c>
      <c r="AE64" s="778">
        <f>IF($W64="No",$M64*U64,$M64*U64*(1-'Policy Allocations'!G$14))</f>
        <v>0</v>
      </c>
      <c r="AF64" s="778">
        <f t="shared" si="34"/>
        <v>0</v>
      </c>
      <c r="AG64" s="777">
        <f t="shared" si="35"/>
        <v>0</v>
      </c>
      <c r="AH64" s="232"/>
      <c r="AI64" s="5"/>
      <c r="AJ64" s="5"/>
    </row>
    <row r="65" spans="1:36" s="14" customFormat="1">
      <c r="A65" s="14" t="s">
        <v>1004</v>
      </c>
      <c r="B65" s="235" t="s">
        <v>82</v>
      </c>
      <c r="C65" s="235" t="s">
        <v>935</v>
      </c>
      <c r="D65" s="235" t="s">
        <v>1065</v>
      </c>
      <c r="E65" s="235" t="s">
        <v>80</v>
      </c>
      <c r="F65" s="235" t="s">
        <v>934</v>
      </c>
      <c r="G65" s="771">
        <f>VLOOKUP($A65,'Contracts '!$A$2:$J$87,10,FALSE)</f>
        <v>0</v>
      </c>
      <c r="H65" s="773">
        <f>VLOOKUP(A65,'Contracts inf'!$A$3:$I$81,9,FALSE)</f>
        <v>0</v>
      </c>
      <c r="I65" s="774">
        <f t="shared" si="30"/>
        <v>0</v>
      </c>
      <c r="J65" s="325">
        <v>0.52</v>
      </c>
      <c r="K65" s="773">
        <f t="shared" si="31"/>
        <v>0</v>
      </c>
      <c r="L65" s="773">
        <f t="shared" si="36"/>
        <v>0</v>
      </c>
      <c r="M65" s="775">
        <f t="shared" si="32"/>
        <v>0</v>
      </c>
      <c r="N65" s="302">
        <v>1</v>
      </c>
      <c r="O65" s="303">
        <v>0</v>
      </c>
      <c r="P65" s="303">
        <v>0</v>
      </c>
      <c r="Q65" s="303">
        <v>0</v>
      </c>
      <c r="R65" s="303">
        <v>0</v>
      </c>
      <c r="S65" s="303">
        <v>0</v>
      </c>
      <c r="T65" s="303">
        <v>0</v>
      </c>
      <c r="U65" s="303">
        <v>0</v>
      </c>
      <c r="V65" s="298" t="str">
        <f t="shared" si="33"/>
        <v>ok</v>
      </c>
      <c r="W65" s="312" t="s">
        <v>713</v>
      </c>
      <c r="X65" s="778">
        <f>IF($W65="No",$M65*N65,$M65*N65*(1-'Policy Allocations'!G$7))</f>
        <v>0</v>
      </c>
      <c r="Y65" s="778">
        <f>IF($W65="No",$M65*O65,$M65*O65*(1-'Policy Allocations'!G$8))</f>
        <v>0</v>
      </c>
      <c r="Z65" s="778">
        <f>IF($W65="No",$M65*P65,$M65*P65*(1-'Policy Allocations'!G$9))</f>
        <v>0</v>
      </c>
      <c r="AA65" s="778">
        <f>IF($W65="No",$M65*Q65,$M65*Q65*(1-'Policy Allocations'!G$10))</f>
        <v>0</v>
      </c>
      <c r="AB65" s="778">
        <f>IF($W65="No",$M65*R65,$M65*R65*(1-'Policy Allocations'!G$11))</f>
        <v>0</v>
      </c>
      <c r="AC65" s="778">
        <f>IF($W65="No",$M65*S65,$M65*S65*(1-'Policy Allocations'!G$12))</f>
        <v>0</v>
      </c>
      <c r="AD65" s="778">
        <f>IF($W65="No",$M65*T65,$M65*T65*(1-'Policy Allocations'!G$13))</f>
        <v>0</v>
      </c>
      <c r="AE65" s="778">
        <f>IF($W65="No",$M65*U65,$M65*U65*(1-'Policy Allocations'!G$14))</f>
        <v>0</v>
      </c>
      <c r="AF65" s="778">
        <f t="shared" si="34"/>
        <v>0</v>
      </c>
      <c r="AG65" s="777">
        <f t="shared" si="35"/>
        <v>0</v>
      </c>
      <c r="AH65" s="232"/>
      <c r="AI65" s="5"/>
      <c r="AJ65" s="5"/>
    </row>
    <row r="66" spans="1:36" s="14" customFormat="1">
      <c r="A66" s="14" t="s">
        <v>937</v>
      </c>
      <c r="B66" s="235" t="s">
        <v>82</v>
      </c>
      <c r="C66" s="235" t="s">
        <v>938</v>
      </c>
      <c r="D66" s="235" t="s">
        <v>1065</v>
      </c>
      <c r="E66" s="235" t="s">
        <v>80</v>
      </c>
      <c r="F66" s="235" t="s">
        <v>936</v>
      </c>
      <c r="G66" s="771">
        <f>VLOOKUP($A66,'Contracts '!$A$2:$J$87,10,FALSE)</f>
        <v>0</v>
      </c>
      <c r="H66" s="773">
        <f>VLOOKUP(A66,'Contracts inf'!$A$3:$I$81,9,FALSE)</f>
        <v>0</v>
      </c>
      <c r="I66" s="774">
        <f t="shared" si="30"/>
        <v>0</v>
      </c>
      <c r="J66" s="325">
        <v>0.52</v>
      </c>
      <c r="K66" s="773">
        <f t="shared" si="31"/>
        <v>0</v>
      </c>
      <c r="L66" s="773">
        <f t="shared" si="36"/>
        <v>0</v>
      </c>
      <c r="M66" s="775">
        <f t="shared" si="32"/>
        <v>0</v>
      </c>
      <c r="N66" s="302">
        <v>1</v>
      </c>
      <c r="O66" s="303">
        <v>0</v>
      </c>
      <c r="P66" s="303">
        <v>0</v>
      </c>
      <c r="Q66" s="303">
        <v>0</v>
      </c>
      <c r="R66" s="303">
        <v>0</v>
      </c>
      <c r="S66" s="303">
        <v>0</v>
      </c>
      <c r="T66" s="303">
        <v>0</v>
      </c>
      <c r="U66" s="303">
        <v>0</v>
      </c>
      <c r="V66" s="298" t="str">
        <f t="shared" si="33"/>
        <v>ok</v>
      </c>
      <c r="W66" s="312" t="s">
        <v>713</v>
      </c>
      <c r="X66" s="778">
        <f>IF($W66="No",$M66*N66,$M66*N66*(1-'Policy Allocations'!G$7))</f>
        <v>0</v>
      </c>
      <c r="Y66" s="778">
        <f>IF($W66="No",$M66*O66,$M66*O66*(1-'Policy Allocations'!G$8))</f>
        <v>0</v>
      </c>
      <c r="Z66" s="778">
        <f>IF($W66="No",$M66*P66,$M66*P66*(1-'Policy Allocations'!G$9))</f>
        <v>0</v>
      </c>
      <c r="AA66" s="778">
        <f>IF($W66="No",$M66*Q66,$M66*Q66*(1-'Policy Allocations'!G$10))</f>
        <v>0</v>
      </c>
      <c r="AB66" s="778">
        <f>IF($W66="No",$M66*R66,$M66*R66*(1-'Policy Allocations'!G$11))</f>
        <v>0</v>
      </c>
      <c r="AC66" s="778">
        <f>IF($W66="No",$M66*S66,$M66*S66*(1-'Policy Allocations'!G$12))</f>
        <v>0</v>
      </c>
      <c r="AD66" s="778">
        <f>IF($W66="No",$M66*T66,$M66*T66*(1-'Policy Allocations'!G$13))</f>
        <v>0</v>
      </c>
      <c r="AE66" s="778">
        <f>IF($W66="No",$M66*U66,$M66*U66*(1-'Policy Allocations'!G$14))</f>
        <v>0</v>
      </c>
      <c r="AF66" s="778">
        <f t="shared" si="34"/>
        <v>0</v>
      </c>
      <c r="AG66" s="777">
        <f t="shared" si="35"/>
        <v>0</v>
      </c>
      <c r="AH66" s="232"/>
      <c r="AI66" s="5"/>
      <c r="AJ66" s="5"/>
    </row>
    <row r="67" spans="1:36" s="14" customFormat="1">
      <c r="A67" s="14" t="s">
        <v>940</v>
      </c>
      <c r="B67" s="235" t="s">
        <v>82</v>
      </c>
      <c r="C67" s="235" t="s">
        <v>750</v>
      </c>
      <c r="D67" s="235" t="s">
        <v>1065</v>
      </c>
      <c r="E67" s="235" t="s">
        <v>80</v>
      </c>
      <c r="F67" s="235" t="s">
        <v>939</v>
      </c>
      <c r="G67" s="771">
        <f>VLOOKUP($A67,'Contracts '!$A$2:$J$87,10,FALSE)</f>
        <v>0</v>
      </c>
      <c r="H67" s="773">
        <f>VLOOKUP(A67,'Contracts inf'!$A$3:$I$81,9,FALSE)</f>
        <v>0</v>
      </c>
      <c r="I67" s="774">
        <f t="shared" si="30"/>
        <v>0</v>
      </c>
      <c r="J67" s="325">
        <v>0.52</v>
      </c>
      <c r="K67" s="773">
        <f t="shared" ref="K67:K83" si="37">I67*(1-J67)</f>
        <v>0</v>
      </c>
      <c r="L67" s="773">
        <f t="shared" si="36"/>
        <v>0</v>
      </c>
      <c r="M67" s="775">
        <f t="shared" si="32"/>
        <v>0</v>
      </c>
      <c r="N67" s="302">
        <v>1</v>
      </c>
      <c r="O67" s="303">
        <v>0</v>
      </c>
      <c r="P67" s="303">
        <v>0</v>
      </c>
      <c r="Q67" s="303">
        <v>0</v>
      </c>
      <c r="R67" s="303">
        <v>0</v>
      </c>
      <c r="S67" s="303">
        <v>0</v>
      </c>
      <c r="T67" s="303">
        <v>0</v>
      </c>
      <c r="U67" s="303">
        <v>0</v>
      </c>
      <c r="V67" s="298" t="str">
        <f t="shared" si="33"/>
        <v>ok</v>
      </c>
      <c r="W67" s="312" t="s">
        <v>713</v>
      </c>
      <c r="X67" s="778">
        <f>IF($W67="No",$M67*N67,$M67*N67*(1-'Policy Allocations'!G$7))</f>
        <v>0</v>
      </c>
      <c r="Y67" s="778">
        <f>IF($W67="No",$M67*O67,$M67*O67*(1-'Policy Allocations'!G$8))</f>
        <v>0</v>
      </c>
      <c r="Z67" s="778">
        <f>IF($W67="No",$M67*P67,$M67*P67*(1-'Policy Allocations'!G$9))</f>
        <v>0</v>
      </c>
      <c r="AA67" s="778">
        <f>IF($W67="No",$M67*Q67,$M67*Q67*(1-'Policy Allocations'!G$10))</f>
        <v>0</v>
      </c>
      <c r="AB67" s="778">
        <f>IF($W67="No",$M67*R67,$M67*R67*(1-'Policy Allocations'!G$11))</f>
        <v>0</v>
      </c>
      <c r="AC67" s="778">
        <f>IF($W67="No",$M67*S67,$M67*S67*(1-'Policy Allocations'!G$12))</f>
        <v>0</v>
      </c>
      <c r="AD67" s="778">
        <f>IF($W67="No",$M67*T67,$M67*T67*(1-'Policy Allocations'!G$13))</f>
        <v>0</v>
      </c>
      <c r="AE67" s="778">
        <f>IF($W67="No",$M67*U67,$M67*U67*(1-'Policy Allocations'!G$14))</f>
        <v>0</v>
      </c>
      <c r="AF67" s="778">
        <f t="shared" ref="AF67:AF77" si="38">M67-SUM(X67:AE67)</f>
        <v>0</v>
      </c>
      <c r="AG67" s="777">
        <f t="shared" ref="AG67:AG77" si="39">SUM(X67:AF67)</f>
        <v>0</v>
      </c>
      <c r="AH67" s="232"/>
      <c r="AI67" s="5"/>
      <c r="AJ67" s="5"/>
    </row>
    <row r="68" spans="1:36" s="14" customFormat="1">
      <c r="A68" s="14" t="s">
        <v>942</v>
      </c>
      <c r="B68" s="235" t="s">
        <v>82</v>
      </c>
      <c r="C68" s="235" t="s">
        <v>943</v>
      </c>
      <c r="D68" s="235" t="s">
        <v>1065</v>
      </c>
      <c r="E68" s="235" t="s">
        <v>80</v>
      </c>
      <c r="F68" s="235" t="s">
        <v>941</v>
      </c>
      <c r="G68" s="771">
        <f>VLOOKUP($A68,'Contracts '!$A$2:$J$87,10,FALSE)</f>
        <v>0</v>
      </c>
      <c r="H68" s="773">
        <f>VLOOKUP(A68,'Contracts inf'!$A$3:$I$81,9,FALSE)</f>
        <v>0</v>
      </c>
      <c r="I68" s="774">
        <f t="shared" si="30"/>
        <v>0</v>
      </c>
      <c r="J68" s="325">
        <v>0.52</v>
      </c>
      <c r="K68" s="773">
        <f t="shared" si="37"/>
        <v>0</v>
      </c>
      <c r="L68" s="773">
        <f t="shared" si="36"/>
        <v>0</v>
      </c>
      <c r="M68" s="775">
        <f t="shared" si="32"/>
        <v>0</v>
      </c>
      <c r="N68" s="302">
        <v>1</v>
      </c>
      <c r="O68" s="303">
        <v>0</v>
      </c>
      <c r="P68" s="303">
        <v>0</v>
      </c>
      <c r="Q68" s="303">
        <v>0</v>
      </c>
      <c r="R68" s="303">
        <v>0</v>
      </c>
      <c r="S68" s="303">
        <v>0</v>
      </c>
      <c r="T68" s="303">
        <v>0</v>
      </c>
      <c r="U68" s="303">
        <v>0</v>
      </c>
      <c r="V68" s="298" t="str">
        <f t="shared" si="33"/>
        <v>ok</v>
      </c>
      <c r="W68" s="312" t="s">
        <v>713</v>
      </c>
      <c r="X68" s="778">
        <f>IF($W68="No",$M68*N68,$M68*N68*(1-'Policy Allocations'!G$7))</f>
        <v>0</v>
      </c>
      <c r="Y68" s="778">
        <f>IF($W68="No",$M68*O68,$M68*O68*(1-'Policy Allocations'!G$8))</f>
        <v>0</v>
      </c>
      <c r="Z68" s="778">
        <f>IF($W68="No",$M68*P68,$M68*P68*(1-'Policy Allocations'!G$9))</f>
        <v>0</v>
      </c>
      <c r="AA68" s="778">
        <f>IF($W68="No",$M68*Q68,$M68*Q68*(1-'Policy Allocations'!G$10))</f>
        <v>0</v>
      </c>
      <c r="AB68" s="778">
        <f>IF($W68="No",$M68*R68,$M68*R68*(1-'Policy Allocations'!G$11))</f>
        <v>0</v>
      </c>
      <c r="AC68" s="778">
        <f>IF($W68="No",$M68*S68,$M68*S68*(1-'Policy Allocations'!G$12))</f>
        <v>0</v>
      </c>
      <c r="AD68" s="778">
        <f>IF($W68="No",$M68*T68,$M68*T68*(1-'Policy Allocations'!G$13))</f>
        <v>0</v>
      </c>
      <c r="AE68" s="778">
        <f>IF($W68="No",$M68*U68,$M68*U68*(1-'Policy Allocations'!G$14))</f>
        <v>0</v>
      </c>
      <c r="AF68" s="778">
        <f t="shared" si="38"/>
        <v>0</v>
      </c>
      <c r="AG68" s="777">
        <f t="shared" si="39"/>
        <v>0</v>
      </c>
      <c r="AH68" s="232"/>
      <c r="AI68" s="5"/>
      <c r="AJ68" s="5"/>
    </row>
    <row r="69" spans="1:36" s="14" customFormat="1">
      <c r="A69" s="14" t="s">
        <v>945</v>
      </c>
      <c r="B69" s="235" t="s">
        <v>82</v>
      </c>
      <c r="C69" s="235" t="s">
        <v>946</v>
      </c>
      <c r="D69" s="235" t="s">
        <v>1065</v>
      </c>
      <c r="E69" s="235" t="s">
        <v>80</v>
      </c>
      <c r="F69" s="235" t="s">
        <v>944</v>
      </c>
      <c r="G69" s="771">
        <f>VLOOKUP($A69,'Contracts '!$A$2:$J$87,10,FALSE)</f>
        <v>0</v>
      </c>
      <c r="H69" s="773">
        <f>VLOOKUP(A69,'Contracts inf'!$A$3:$I$81,9,FALSE)</f>
        <v>0</v>
      </c>
      <c r="I69" s="774">
        <f t="shared" si="30"/>
        <v>0</v>
      </c>
      <c r="J69" s="325">
        <v>0.52</v>
      </c>
      <c r="K69" s="773">
        <f t="shared" si="37"/>
        <v>0</v>
      </c>
      <c r="L69" s="773">
        <f t="shared" si="36"/>
        <v>0</v>
      </c>
      <c r="M69" s="775">
        <f t="shared" si="32"/>
        <v>0</v>
      </c>
      <c r="N69" s="302">
        <v>1</v>
      </c>
      <c r="O69" s="303">
        <v>0</v>
      </c>
      <c r="P69" s="303">
        <v>0</v>
      </c>
      <c r="Q69" s="303">
        <v>0</v>
      </c>
      <c r="R69" s="303">
        <v>0</v>
      </c>
      <c r="S69" s="303">
        <v>0</v>
      </c>
      <c r="T69" s="303">
        <v>0</v>
      </c>
      <c r="U69" s="303">
        <v>0</v>
      </c>
      <c r="V69" s="298" t="str">
        <f t="shared" si="33"/>
        <v>ok</v>
      </c>
      <c r="W69" s="312" t="s">
        <v>713</v>
      </c>
      <c r="X69" s="778">
        <f>IF($W69="No",$M69*N69,$M69*N69*(1-'Policy Allocations'!G$7))</f>
        <v>0</v>
      </c>
      <c r="Y69" s="778">
        <f>IF($W69="No",$M69*O69,$M69*O69*(1-'Policy Allocations'!G$8))</f>
        <v>0</v>
      </c>
      <c r="Z69" s="778">
        <f>IF($W69="No",$M69*P69,$M69*P69*(1-'Policy Allocations'!G$9))</f>
        <v>0</v>
      </c>
      <c r="AA69" s="778">
        <f>IF($W69="No",$M69*Q69,$M69*Q69*(1-'Policy Allocations'!G$10))</f>
        <v>0</v>
      </c>
      <c r="AB69" s="778">
        <f>IF($W69="No",$M69*R69,$M69*R69*(1-'Policy Allocations'!G$11))</f>
        <v>0</v>
      </c>
      <c r="AC69" s="778">
        <f>IF($W69="No",$M69*S69,$M69*S69*(1-'Policy Allocations'!G$12))</f>
        <v>0</v>
      </c>
      <c r="AD69" s="778">
        <f>IF($W69="No",$M69*T69,$M69*T69*(1-'Policy Allocations'!G$13))</f>
        <v>0</v>
      </c>
      <c r="AE69" s="778">
        <f>IF($W69="No",$M69*U69,$M69*U69*(1-'Policy Allocations'!G$14))</f>
        <v>0</v>
      </c>
      <c r="AF69" s="778">
        <f t="shared" si="38"/>
        <v>0</v>
      </c>
      <c r="AG69" s="777">
        <f t="shared" si="39"/>
        <v>0</v>
      </c>
      <c r="AH69" s="232"/>
      <c r="AI69" s="5"/>
      <c r="AJ69" s="5"/>
    </row>
    <row r="70" spans="1:36" s="14" customFormat="1">
      <c r="A70" s="14" t="s">
        <v>948</v>
      </c>
      <c r="B70" s="235" t="s">
        <v>82</v>
      </c>
      <c r="C70" s="235" t="s">
        <v>717</v>
      </c>
      <c r="D70" s="235" t="s">
        <v>1065</v>
      </c>
      <c r="E70" s="235" t="s">
        <v>80</v>
      </c>
      <c r="F70" s="235" t="s">
        <v>947</v>
      </c>
      <c r="G70" s="771">
        <f>VLOOKUP($A70,'Contracts '!$A$2:$J$87,10,FALSE)</f>
        <v>0</v>
      </c>
      <c r="H70" s="773">
        <f>VLOOKUP(A70,'Contracts inf'!$A$3:$I$81,9,FALSE)</f>
        <v>0</v>
      </c>
      <c r="I70" s="774">
        <f t="shared" si="30"/>
        <v>0</v>
      </c>
      <c r="J70" s="325">
        <v>0.52</v>
      </c>
      <c r="K70" s="773">
        <f t="shared" si="37"/>
        <v>0</v>
      </c>
      <c r="L70" s="773">
        <f t="shared" si="36"/>
        <v>0</v>
      </c>
      <c r="M70" s="775">
        <f t="shared" si="32"/>
        <v>0</v>
      </c>
      <c r="N70" s="302">
        <v>1</v>
      </c>
      <c r="O70" s="303">
        <v>0</v>
      </c>
      <c r="P70" s="303">
        <v>0</v>
      </c>
      <c r="Q70" s="303">
        <v>0</v>
      </c>
      <c r="R70" s="303">
        <v>0</v>
      </c>
      <c r="S70" s="303">
        <v>0</v>
      </c>
      <c r="T70" s="303">
        <v>0</v>
      </c>
      <c r="U70" s="303">
        <v>0</v>
      </c>
      <c r="V70" s="298" t="str">
        <f t="shared" si="33"/>
        <v>ok</v>
      </c>
      <c r="W70" s="312" t="s">
        <v>713</v>
      </c>
      <c r="X70" s="778">
        <f>IF($W70="No",$M70*N70,$M70*N70*(1-'Policy Allocations'!G$7))</f>
        <v>0</v>
      </c>
      <c r="Y70" s="778">
        <f>IF($W70="No",$M70*O70,$M70*O70*(1-'Policy Allocations'!G$8))</f>
        <v>0</v>
      </c>
      <c r="Z70" s="778">
        <f>IF($W70="No",$M70*P70,$M70*P70*(1-'Policy Allocations'!G$9))</f>
        <v>0</v>
      </c>
      <c r="AA70" s="778">
        <f>IF($W70="No",$M70*Q70,$M70*Q70*(1-'Policy Allocations'!G$10))</f>
        <v>0</v>
      </c>
      <c r="AB70" s="778">
        <f>IF($W70="No",$M70*R70,$M70*R70*(1-'Policy Allocations'!G$11))</f>
        <v>0</v>
      </c>
      <c r="AC70" s="778">
        <f>IF($W70="No",$M70*S70,$M70*S70*(1-'Policy Allocations'!G$12))</f>
        <v>0</v>
      </c>
      <c r="AD70" s="778">
        <f>IF($W70="No",$M70*T70,$M70*T70*(1-'Policy Allocations'!G$13))</f>
        <v>0</v>
      </c>
      <c r="AE70" s="778">
        <f>IF($W70="No",$M70*U70,$M70*U70*(1-'Policy Allocations'!G$14))</f>
        <v>0</v>
      </c>
      <c r="AF70" s="778">
        <f t="shared" si="38"/>
        <v>0</v>
      </c>
      <c r="AG70" s="777">
        <f t="shared" si="39"/>
        <v>0</v>
      </c>
      <c r="AH70" s="232"/>
      <c r="AI70" s="5"/>
      <c r="AJ70" s="5"/>
    </row>
    <row r="71" spans="1:36" s="14" customFormat="1">
      <c r="A71" s="14" t="s">
        <v>933</v>
      </c>
      <c r="B71" s="235" t="s">
        <v>82</v>
      </c>
      <c r="C71" s="235" t="s">
        <v>751</v>
      </c>
      <c r="D71" s="235" t="s">
        <v>1065</v>
      </c>
      <c r="E71" s="235" t="s">
        <v>80</v>
      </c>
      <c r="F71" s="235" t="s">
        <v>932</v>
      </c>
      <c r="G71" s="771">
        <f>VLOOKUP($A71,'Contracts '!$A$2:$J$87,10,FALSE)</f>
        <v>0</v>
      </c>
      <c r="H71" s="773">
        <f>VLOOKUP(A71,'Contracts inf'!$A$3:$I$81,9,FALSE)</f>
        <v>0</v>
      </c>
      <c r="I71" s="774">
        <f t="shared" si="30"/>
        <v>0</v>
      </c>
      <c r="J71" s="325">
        <v>0.52</v>
      </c>
      <c r="K71" s="773">
        <f t="shared" si="37"/>
        <v>0</v>
      </c>
      <c r="L71" s="773">
        <f t="shared" si="36"/>
        <v>0</v>
      </c>
      <c r="M71" s="775">
        <f t="shared" si="32"/>
        <v>0</v>
      </c>
      <c r="N71" s="302">
        <v>1</v>
      </c>
      <c r="O71" s="303">
        <v>0</v>
      </c>
      <c r="P71" s="303">
        <v>0</v>
      </c>
      <c r="Q71" s="303">
        <v>0</v>
      </c>
      <c r="R71" s="303">
        <v>0</v>
      </c>
      <c r="S71" s="303">
        <v>0</v>
      </c>
      <c r="T71" s="303">
        <v>0</v>
      </c>
      <c r="U71" s="303">
        <v>0</v>
      </c>
      <c r="V71" s="298" t="str">
        <f t="shared" si="33"/>
        <v>ok</v>
      </c>
      <c r="W71" s="312" t="s">
        <v>713</v>
      </c>
      <c r="X71" s="778">
        <f>IF($W71="No",$M71*N71,$M71*N71*(1-'Policy Allocations'!G$7))</f>
        <v>0</v>
      </c>
      <c r="Y71" s="778">
        <f>IF($W71="No",$M71*O71,$M71*O71*(1-'Policy Allocations'!G$8))</f>
        <v>0</v>
      </c>
      <c r="Z71" s="778">
        <f>IF($W71="No",$M71*P71,$M71*P71*(1-'Policy Allocations'!G$9))</f>
        <v>0</v>
      </c>
      <c r="AA71" s="778">
        <f>IF($W71="No",$M71*Q71,$M71*Q71*(1-'Policy Allocations'!G$10))</f>
        <v>0</v>
      </c>
      <c r="AB71" s="778">
        <f>IF($W71="No",$M71*R71,$M71*R71*(1-'Policy Allocations'!G$11))</f>
        <v>0</v>
      </c>
      <c r="AC71" s="778">
        <f>IF($W71="No",$M71*S71,$M71*S71*(1-'Policy Allocations'!G$12))</f>
        <v>0</v>
      </c>
      <c r="AD71" s="778">
        <f>IF($W71="No",$M71*T71,$M71*T71*(1-'Policy Allocations'!G$13))</f>
        <v>0</v>
      </c>
      <c r="AE71" s="778">
        <f>IF($W71="No",$M71*U71,$M71*U71*(1-'Policy Allocations'!G$14))</f>
        <v>0</v>
      </c>
      <c r="AF71" s="778">
        <f t="shared" si="38"/>
        <v>0</v>
      </c>
      <c r="AG71" s="777">
        <f t="shared" si="39"/>
        <v>0</v>
      </c>
      <c r="AH71" s="232"/>
      <c r="AI71" s="5"/>
      <c r="AJ71" s="5"/>
    </row>
    <row r="72" spans="1:36" s="14" customFormat="1">
      <c r="A72" s="14" t="s">
        <v>950</v>
      </c>
      <c r="B72" s="235" t="s">
        <v>82</v>
      </c>
      <c r="C72" s="235" t="s">
        <v>951</v>
      </c>
      <c r="D72" s="235" t="s">
        <v>1065</v>
      </c>
      <c r="E72" s="235" t="s">
        <v>80</v>
      </c>
      <c r="F72" s="235" t="s">
        <v>949</v>
      </c>
      <c r="G72" s="771">
        <f>VLOOKUP($A72,'Contracts '!$A$2:$J$87,10,FALSE)</f>
        <v>0</v>
      </c>
      <c r="H72" s="773">
        <f>VLOOKUP(A72,'Contracts inf'!$A$3:$I$81,9,FALSE)</f>
        <v>0</v>
      </c>
      <c r="I72" s="774">
        <f t="shared" si="30"/>
        <v>0</v>
      </c>
      <c r="J72" s="325">
        <v>0.52</v>
      </c>
      <c r="K72" s="773">
        <f t="shared" si="37"/>
        <v>0</v>
      </c>
      <c r="L72" s="773">
        <f t="shared" si="36"/>
        <v>0</v>
      </c>
      <c r="M72" s="775">
        <f t="shared" si="32"/>
        <v>0</v>
      </c>
      <c r="N72" s="302">
        <v>1</v>
      </c>
      <c r="O72" s="303">
        <v>0</v>
      </c>
      <c r="P72" s="303">
        <v>0</v>
      </c>
      <c r="Q72" s="303">
        <v>0</v>
      </c>
      <c r="R72" s="303">
        <v>0</v>
      </c>
      <c r="S72" s="303">
        <v>0</v>
      </c>
      <c r="T72" s="303">
        <v>0</v>
      </c>
      <c r="U72" s="303">
        <v>0</v>
      </c>
      <c r="V72" s="298" t="str">
        <f t="shared" si="33"/>
        <v>ok</v>
      </c>
      <c r="W72" s="312" t="s">
        <v>713</v>
      </c>
      <c r="X72" s="778">
        <f>IF($W72="No",$M72*N72,$M72*N72*(1-'Policy Allocations'!G$7))</f>
        <v>0</v>
      </c>
      <c r="Y72" s="778">
        <f>IF($W72="No",$M72*O72,$M72*O72*(1-'Policy Allocations'!G$8))</f>
        <v>0</v>
      </c>
      <c r="Z72" s="778">
        <f>IF($W72="No",$M72*P72,$M72*P72*(1-'Policy Allocations'!G$9))</f>
        <v>0</v>
      </c>
      <c r="AA72" s="778">
        <f>IF($W72="No",$M72*Q72,$M72*Q72*(1-'Policy Allocations'!G$10))</f>
        <v>0</v>
      </c>
      <c r="AB72" s="778">
        <f>IF($W72="No",$M72*R72,$M72*R72*(1-'Policy Allocations'!G$11))</f>
        <v>0</v>
      </c>
      <c r="AC72" s="778">
        <f>IF($W72="No",$M72*S72,$M72*S72*(1-'Policy Allocations'!G$12))</f>
        <v>0</v>
      </c>
      <c r="AD72" s="778">
        <f>IF($W72="No",$M72*T72,$M72*T72*(1-'Policy Allocations'!G$13))</f>
        <v>0</v>
      </c>
      <c r="AE72" s="778">
        <f>IF($W72="No",$M72*U72,$M72*U72*(1-'Policy Allocations'!G$14))</f>
        <v>0</v>
      </c>
      <c r="AF72" s="778">
        <f t="shared" si="38"/>
        <v>0</v>
      </c>
      <c r="AG72" s="777">
        <f t="shared" si="39"/>
        <v>0</v>
      </c>
      <c r="AH72" s="232"/>
      <c r="AI72" s="5"/>
      <c r="AJ72" s="5"/>
    </row>
    <row r="73" spans="1:36" s="14" customFormat="1">
      <c r="A73" s="14" t="s">
        <v>953</v>
      </c>
      <c r="B73" s="235" t="s">
        <v>82</v>
      </c>
      <c r="C73" s="235" t="s">
        <v>954</v>
      </c>
      <c r="D73" s="235" t="s">
        <v>1065</v>
      </c>
      <c r="E73" s="235" t="s">
        <v>80</v>
      </c>
      <c r="F73" s="235" t="s">
        <v>952</v>
      </c>
      <c r="G73" s="771">
        <f>VLOOKUP($A73,'Contracts '!$A$2:$J$87,10,FALSE)</f>
        <v>0</v>
      </c>
      <c r="H73" s="773">
        <f>VLOOKUP(A73,'Contracts inf'!$A$3:$I$81,9,FALSE)</f>
        <v>0</v>
      </c>
      <c r="I73" s="774">
        <f t="shared" si="30"/>
        <v>0</v>
      </c>
      <c r="J73" s="325">
        <v>0.52</v>
      </c>
      <c r="K73" s="773">
        <f t="shared" si="37"/>
        <v>0</v>
      </c>
      <c r="L73" s="773">
        <f t="shared" si="36"/>
        <v>0</v>
      </c>
      <c r="M73" s="775">
        <f t="shared" si="32"/>
        <v>0</v>
      </c>
      <c r="N73" s="302">
        <v>1</v>
      </c>
      <c r="O73" s="303">
        <v>0</v>
      </c>
      <c r="P73" s="303">
        <v>0</v>
      </c>
      <c r="Q73" s="303">
        <v>0</v>
      </c>
      <c r="R73" s="303">
        <v>0</v>
      </c>
      <c r="S73" s="303">
        <v>0</v>
      </c>
      <c r="T73" s="303">
        <v>0</v>
      </c>
      <c r="U73" s="303">
        <v>0</v>
      </c>
      <c r="V73" s="298" t="str">
        <f t="shared" si="33"/>
        <v>ok</v>
      </c>
      <c r="W73" s="312" t="s">
        <v>713</v>
      </c>
      <c r="X73" s="778">
        <f>IF($W73="No",$M73*N73,$M73*N73*(1-'Policy Allocations'!G$7))</f>
        <v>0</v>
      </c>
      <c r="Y73" s="778">
        <f>IF($W73="No",$M73*O73,$M73*O73*(1-'Policy Allocations'!G$8))</f>
        <v>0</v>
      </c>
      <c r="Z73" s="778">
        <f>IF($W73="No",$M73*P73,$M73*P73*(1-'Policy Allocations'!G$9))</f>
        <v>0</v>
      </c>
      <c r="AA73" s="778">
        <f>IF($W73="No",$M73*Q73,$M73*Q73*(1-'Policy Allocations'!G$10))</f>
        <v>0</v>
      </c>
      <c r="AB73" s="778">
        <f>IF($W73="No",$M73*R73,$M73*R73*(1-'Policy Allocations'!G$11))</f>
        <v>0</v>
      </c>
      <c r="AC73" s="778">
        <f>IF($W73="No",$M73*S73,$M73*S73*(1-'Policy Allocations'!G$12))</f>
        <v>0</v>
      </c>
      <c r="AD73" s="778">
        <f>IF($W73="No",$M73*T73,$M73*T73*(1-'Policy Allocations'!G$13))</f>
        <v>0</v>
      </c>
      <c r="AE73" s="778">
        <f>IF($W73="No",$M73*U73,$M73*U73*(1-'Policy Allocations'!G$14))</f>
        <v>0</v>
      </c>
      <c r="AF73" s="778">
        <f t="shared" si="38"/>
        <v>0</v>
      </c>
      <c r="AG73" s="777">
        <f t="shared" si="39"/>
        <v>0</v>
      </c>
      <c r="AH73" s="232"/>
      <c r="AI73" s="5"/>
      <c r="AJ73" s="5"/>
    </row>
    <row r="74" spans="1:36" s="14" customFormat="1">
      <c r="A74" s="14" t="s">
        <v>956</v>
      </c>
      <c r="B74" s="235" t="s">
        <v>82</v>
      </c>
      <c r="C74" s="235" t="s">
        <v>473</v>
      </c>
      <c r="D74" s="235" t="s">
        <v>1065</v>
      </c>
      <c r="E74" s="235" t="s">
        <v>80</v>
      </c>
      <c r="F74" s="235" t="s">
        <v>955</v>
      </c>
      <c r="G74" s="771">
        <f>VLOOKUP($A74,'Contracts '!$A$2:$J$87,10,FALSE)</f>
        <v>0</v>
      </c>
      <c r="H74" s="773">
        <f>VLOOKUP(A74,'Contracts inf'!$A$3:$I$81,9,FALSE)</f>
        <v>0</v>
      </c>
      <c r="I74" s="774">
        <f t="shared" si="30"/>
        <v>0</v>
      </c>
      <c r="J74" s="325">
        <v>0.52</v>
      </c>
      <c r="K74" s="773">
        <f t="shared" si="37"/>
        <v>0</v>
      </c>
      <c r="L74" s="773">
        <f t="shared" si="36"/>
        <v>0</v>
      </c>
      <c r="M74" s="775">
        <f t="shared" si="32"/>
        <v>0</v>
      </c>
      <c r="N74" s="302">
        <v>1</v>
      </c>
      <c r="O74" s="303">
        <v>0</v>
      </c>
      <c r="P74" s="303">
        <v>0</v>
      </c>
      <c r="Q74" s="303">
        <v>0</v>
      </c>
      <c r="R74" s="303">
        <v>0</v>
      </c>
      <c r="S74" s="303">
        <v>0</v>
      </c>
      <c r="T74" s="303">
        <v>0</v>
      </c>
      <c r="U74" s="303">
        <v>0</v>
      </c>
      <c r="V74" s="298" t="str">
        <f t="shared" si="33"/>
        <v>ok</v>
      </c>
      <c r="W74" s="312" t="s">
        <v>713</v>
      </c>
      <c r="X74" s="778">
        <f>IF($W74="No",$M74*N74,$M74*N74*(1-'Policy Allocations'!G$7))</f>
        <v>0</v>
      </c>
      <c r="Y74" s="778">
        <f>IF($W74="No",$M74*O74,$M74*O74*(1-'Policy Allocations'!G$8))</f>
        <v>0</v>
      </c>
      <c r="Z74" s="778">
        <f>IF($W74="No",$M74*P74,$M74*P74*(1-'Policy Allocations'!G$9))</f>
        <v>0</v>
      </c>
      <c r="AA74" s="778">
        <f>IF($W74="No",$M74*Q74,$M74*Q74*(1-'Policy Allocations'!G$10))</f>
        <v>0</v>
      </c>
      <c r="AB74" s="778">
        <f>IF($W74="No",$M74*R74,$M74*R74*(1-'Policy Allocations'!G$11))</f>
        <v>0</v>
      </c>
      <c r="AC74" s="778">
        <f>IF($W74="No",$M74*S74,$M74*S74*(1-'Policy Allocations'!G$12))</f>
        <v>0</v>
      </c>
      <c r="AD74" s="778">
        <f>IF($W74="No",$M74*T74,$M74*T74*(1-'Policy Allocations'!G$13))</f>
        <v>0</v>
      </c>
      <c r="AE74" s="778">
        <f>IF($W74="No",$M74*U74,$M74*U74*(1-'Policy Allocations'!G$14))</f>
        <v>0</v>
      </c>
      <c r="AF74" s="778">
        <f t="shared" si="38"/>
        <v>0</v>
      </c>
      <c r="AG74" s="777">
        <f t="shared" si="39"/>
        <v>0</v>
      </c>
      <c r="AH74" s="232"/>
      <c r="AI74" s="5"/>
      <c r="AJ74" s="5"/>
    </row>
    <row r="75" spans="1:36" s="14" customFormat="1">
      <c r="A75" s="14" t="s">
        <v>958</v>
      </c>
      <c r="B75" s="235" t="s">
        <v>82</v>
      </c>
      <c r="C75" s="235" t="s">
        <v>718</v>
      </c>
      <c r="D75" s="235" t="s">
        <v>1065</v>
      </c>
      <c r="E75" s="235" t="s">
        <v>80</v>
      </c>
      <c r="F75" s="235" t="s">
        <v>957</v>
      </c>
      <c r="G75" s="771">
        <f>VLOOKUP($A75,'Contracts '!$A$2:$J$87,10,FALSE)</f>
        <v>0</v>
      </c>
      <c r="H75" s="773">
        <f>VLOOKUP(A75,'Contracts inf'!$A$3:$I$81,9,FALSE)</f>
        <v>0</v>
      </c>
      <c r="I75" s="774">
        <f t="shared" si="30"/>
        <v>0</v>
      </c>
      <c r="J75" s="325">
        <v>0.52</v>
      </c>
      <c r="K75" s="773">
        <f t="shared" si="37"/>
        <v>0</v>
      </c>
      <c r="L75" s="773">
        <f t="shared" si="36"/>
        <v>0</v>
      </c>
      <c r="M75" s="775">
        <f t="shared" si="32"/>
        <v>0</v>
      </c>
      <c r="N75" s="302">
        <v>1</v>
      </c>
      <c r="O75" s="303">
        <v>0</v>
      </c>
      <c r="P75" s="303">
        <v>0</v>
      </c>
      <c r="Q75" s="303">
        <v>0</v>
      </c>
      <c r="R75" s="303">
        <v>0</v>
      </c>
      <c r="S75" s="303">
        <v>0</v>
      </c>
      <c r="T75" s="303">
        <v>0</v>
      </c>
      <c r="U75" s="303">
        <v>0</v>
      </c>
      <c r="V75" s="298" t="str">
        <f t="shared" si="33"/>
        <v>ok</v>
      </c>
      <c r="W75" s="312" t="s">
        <v>713</v>
      </c>
      <c r="X75" s="778">
        <f>IF($W75="No",$M75*N75,$M75*N75*(1-'Policy Allocations'!G$7))</f>
        <v>0</v>
      </c>
      <c r="Y75" s="778">
        <f>IF($W75="No",$M75*O75,$M75*O75*(1-'Policy Allocations'!G$8))</f>
        <v>0</v>
      </c>
      <c r="Z75" s="778">
        <f>IF($W75="No",$M75*P75,$M75*P75*(1-'Policy Allocations'!G$9))</f>
        <v>0</v>
      </c>
      <c r="AA75" s="778">
        <f>IF($W75="No",$M75*Q75,$M75*Q75*(1-'Policy Allocations'!G$10))</f>
        <v>0</v>
      </c>
      <c r="AB75" s="778">
        <f>IF($W75="No",$M75*R75,$M75*R75*(1-'Policy Allocations'!G$11))</f>
        <v>0</v>
      </c>
      <c r="AC75" s="778">
        <f>IF($W75="No",$M75*S75,$M75*S75*(1-'Policy Allocations'!G$12))</f>
        <v>0</v>
      </c>
      <c r="AD75" s="778">
        <f>IF($W75="No",$M75*T75,$M75*T75*(1-'Policy Allocations'!G$13))</f>
        <v>0</v>
      </c>
      <c r="AE75" s="778">
        <f>IF($W75="No",$M75*U75,$M75*U75*(1-'Policy Allocations'!G$14))</f>
        <v>0</v>
      </c>
      <c r="AF75" s="778">
        <f t="shared" si="38"/>
        <v>0</v>
      </c>
      <c r="AG75" s="777">
        <f t="shared" si="39"/>
        <v>0</v>
      </c>
      <c r="AH75" s="232"/>
      <c r="AI75" s="5"/>
      <c r="AJ75" s="5"/>
    </row>
    <row r="76" spans="1:36" s="14" customFormat="1">
      <c r="A76" s="14" t="s">
        <v>960</v>
      </c>
      <c r="B76" s="235" t="s">
        <v>82</v>
      </c>
      <c r="C76" s="235" t="s">
        <v>719</v>
      </c>
      <c r="D76" s="235" t="s">
        <v>1065</v>
      </c>
      <c r="E76" s="235" t="s">
        <v>80</v>
      </c>
      <c r="F76" s="235" t="s">
        <v>959</v>
      </c>
      <c r="G76" s="771">
        <f>VLOOKUP($A76,'Contracts '!$A$2:$J$87,10,FALSE)</f>
        <v>0</v>
      </c>
      <c r="H76" s="773">
        <f>VLOOKUP(A76,'Contracts inf'!$A$3:$I$81,9,FALSE)</f>
        <v>0</v>
      </c>
      <c r="I76" s="774">
        <f t="shared" si="30"/>
        <v>0</v>
      </c>
      <c r="J76" s="325">
        <v>0.52</v>
      </c>
      <c r="K76" s="773">
        <f t="shared" si="37"/>
        <v>0</v>
      </c>
      <c r="L76" s="773">
        <f t="shared" si="36"/>
        <v>0</v>
      </c>
      <c r="M76" s="775">
        <f t="shared" si="32"/>
        <v>0</v>
      </c>
      <c r="N76" s="302">
        <v>1</v>
      </c>
      <c r="O76" s="303">
        <v>0</v>
      </c>
      <c r="P76" s="303">
        <v>0</v>
      </c>
      <c r="Q76" s="303">
        <v>0</v>
      </c>
      <c r="R76" s="303">
        <v>0</v>
      </c>
      <c r="S76" s="303">
        <v>0</v>
      </c>
      <c r="T76" s="303">
        <v>0</v>
      </c>
      <c r="U76" s="303">
        <v>0</v>
      </c>
      <c r="V76" s="298" t="str">
        <f t="shared" si="33"/>
        <v>ok</v>
      </c>
      <c r="W76" s="312" t="s">
        <v>713</v>
      </c>
      <c r="X76" s="778">
        <f>IF($W76="No",$M76*N76,$M76*N76*(1-'Policy Allocations'!G$7))</f>
        <v>0</v>
      </c>
      <c r="Y76" s="778">
        <f>IF($W76="No",$M76*O76,$M76*O76*(1-'Policy Allocations'!G$8))</f>
        <v>0</v>
      </c>
      <c r="Z76" s="778">
        <f>IF($W76="No",$M76*P76,$M76*P76*(1-'Policy Allocations'!G$9))</f>
        <v>0</v>
      </c>
      <c r="AA76" s="778">
        <f>IF($W76="No",$M76*Q76,$M76*Q76*(1-'Policy Allocations'!G$10))</f>
        <v>0</v>
      </c>
      <c r="AB76" s="778">
        <f>IF($W76="No",$M76*R76,$M76*R76*(1-'Policy Allocations'!G$11))</f>
        <v>0</v>
      </c>
      <c r="AC76" s="778">
        <f>IF($W76="No",$M76*S76,$M76*S76*(1-'Policy Allocations'!G$12))</f>
        <v>0</v>
      </c>
      <c r="AD76" s="778">
        <f>IF($W76="No",$M76*T76,$M76*T76*(1-'Policy Allocations'!G$13))</f>
        <v>0</v>
      </c>
      <c r="AE76" s="778">
        <f>IF($W76="No",$M76*U76,$M76*U76*(1-'Policy Allocations'!G$14))</f>
        <v>0</v>
      </c>
      <c r="AF76" s="778">
        <f t="shared" si="38"/>
        <v>0</v>
      </c>
      <c r="AG76" s="777">
        <f t="shared" si="39"/>
        <v>0</v>
      </c>
      <c r="AH76" s="232"/>
      <c r="AI76" s="5"/>
      <c r="AJ76" s="5"/>
    </row>
    <row r="77" spans="1:36" s="14" customFormat="1">
      <c r="A77" s="14" t="s">
        <v>1005</v>
      </c>
      <c r="B77" s="235" t="s">
        <v>82</v>
      </c>
      <c r="C77" s="235" t="s">
        <v>720</v>
      </c>
      <c r="D77" s="235" t="s">
        <v>1065</v>
      </c>
      <c r="E77" s="235" t="s">
        <v>80</v>
      </c>
      <c r="F77" s="235" t="s">
        <v>931</v>
      </c>
      <c r="G77" s="771">
        <f>VLOOKUP($A77,'Contracts '!$A$2:$J$87,10,FALSE)</f>
        <v>0</v>
      </c>
      <c r="H77" s="773">
        <f>VLOOKUP(A77,'Contracts inf'!$A$3:$I$81,9,FALSE)</f>
        <v>0</v>
      </c>
      <c r="I77" s="774">
        <f t="shared" si="30"/>
        <v>0</v>
      </c>
      <c r="J77" s="325">
        <v>0.52</v>
      </c>
      <c r="K77" s="773">
        <f t="shared" si="37"/>
        <v>0</v>
      </c>
      <c r="L77" s="773">
        <f t="shared" si="36"/>
        <v>0</v>
      </c>
      <c r="M77" s="775">
        <f t="shared" si="32"/>
        <v>0</v>
      </c>
      <c r="N77" s="302">
        <v>1</v>
      </c>
      <c r="O77" s="303">
        <v>0</v>
      </c>
      <c r="P77" s="303">
        <v>0</v>
      </c>
      <c r="Q77" s="303">
        <v>0</v>
      </c>
      <c r="R77" s="303">
        <v>0</v>
      </c>
      <c r="S77" s="303">
        <v>0</v>
      </c>
      <c r="T77" s="303">
        <v>0</v>
      </c>
      <c r="U77" s="303">
        <v>0</v>
      </c>
      <c r="V77" s="298" t="str">
        <f t="shared" si="33"/>
        <v>ok</v>
      </c>
      <c r="W77" s="312" t="s">
        <v>713</v>
      </c>
      <c r="X77" s="778">
        <f>IF($W77="No",$M77*N77,$M77*N77*(1-'Policy Allocations'!G$7))</f>
        <v>0</v>
      </c>
      <c r="Y77" s="778">
        <f>IF($W77="No",$M77*O77,$M77*O77*(1-'Policy Allocations'!G$8))</f>
        <v>0</v>
      </c>
      <c r="Z77" s="778">
        <f>IF($W77="No",$M77*P77,$M77*P77*(1-'Policy Allocations'!G$9))</f>
        <v>0</v>
      </c>
      <c r="AA77" s="778">
        <f>IF($W77="No",$M77*Q77,$M77*Q77*(1-'Policy Allocations'!G$10))</f>
        <v>0</v>
      </c>
      <c r="AB77" s="778">
        <f>IF($W77="No",$M77*R77,$M77*R77*(1-'Policy Allocations'!G$11))</f>
        <v>0</v>
      </c>
      <c r="AC77" s="778">
        <f>IF($W77="No",$M77*S77,$M77*S77*(1-'Policy Allocations'!G$12))</f>
        <v>0</v>
      </c>
      <c r="AD77" s="778">
        <f>IF($W77="No",$M77*T77,$M77*T77*(1-'Policy Allocations'!G$13))</f>
        <v>0</v>
      </c>
      <c r="AE77" s="778">
        <f>IF($W77="No",$M77*U77,$M77*U77*(1-'Policy Allocations'!G$14))</f>
        <v>0</v>
      </c>
      <c r="AF77" s="778">
        <f t="shared" si="38"/>
        <v>0</v>
      </c>
      <c r="AG77" s="777">
        <f t="shared" si="39"/>
        <v>0</v>
      </c>
      <c r="AH77" s="232"/>
      <c r="AI77" s="5"/>
      <c r="AJ77" s="5"/>
    </row>
    <row r="78" spans="1:36" s="14" customFormat="1">
      <c r="A78" s="15" t="s">
        <v>162</v>
      </c>
      <c r="B78" s="235"/>
      <c r="C78" s="235"/>
      <c r="D78" s="235"/>
      <c r="E78" s="235"/>
      <c r="F78" s="235"/>
      <c r="G78" s="771"/>
      <c r="H78" s="232"/>
      <c r="I78" s="774">
        <f t="shared" si="30"/>
        <v>0</v>
      </c>
      <c r="J78" s="325">
        <v>0.52</v>
      </c>
      <c r="K78" s="773">
        <f t="shared" si="37"/>
        <v>0</v>
      </c>
      <c r="L78" s="773">
        <f t="shared" si="36"/>
        <v>0</v>
      </c>
      <c r="M78" s="775">
        <f t="shared" si="32"/>
        <v>0</v>
      </c>
      <c r="N78" s="302"/>
      <c r="O78" s="303"/>
      <c r="P78" s="303"/>
      <c r="Q78" s="303"/>
      <c r="R78" s="303"/>
      <c r="S78" s="303"/>
      <c r="T78" s="303"/>
      <c r="U78" s="303"/>
      <c r="V78" s="298"/>
      <c r="W78" s="312"/>
      <c r="X78" s="315"/>
      <c r="Y78" s="315"/>
      <c r="Z78" s="315"/>
      <c r="AA78" s="315"/>
      <c r="AB78" s="315"/>
      <c r="AC78" s="315"/>
      <c r="AD78" s="315"/>
      <c r="AE78" s="315">
        <f>IF($W78="No",$M78*U78,$M78*U78*(1-'Policy Allocations'!G$14))</f>
        <v>0</v>
      </c>
      <c r="AF78" s="315"/>
      <c r="AG78" s="320"/>
      <c r="AH78" s="232"/>
      <c r="AI78" s="5"/>
      <c r="AJ78" s="5"/>
    </row>
    <row r="79" spans="1:36" s="14" customFormat="1">
      <c r="A79" s="237" t="s">
        <v>85</v>
      </c>
      <c r="B79" s="237" t="s">
        <v>82</v>
      </c>
      <c r="C79" s="237">
        <v>0</v>
      </c>
      <c r="D79" s="237" t="s">
        <v>1065</v>
      </c>
      <c r="E79" s="237" t="s">
        <v>80</v>
      </c>
      <c r="F79" s="237" t="s">
        <v>86</v>
      </c>
      <c r="G79" s="772">
        <f>VLOOKUP($A79,'Contracts '!$A$2:$J$87,10,FALSE)</f>
        <v>0</v>
      </c>
      <c r="H79" s="232"/>
      <c r="I79" s="326">
        <f t="shared" si="30"/>
        <v>0</v>
      </c>
      <c r="J79" s="325">
        <v>0.52</v>
      </c>
      <c r="K79" s="232">
        <f t="shared" si="37"/>
        <v>0</v>
      </c>
      <c r="L79" s="232">
        <f t="shared" si="36"/>
        <v>0</v>
      </c>
      <c r="M79" s="289">
        <f t="shared" si="32"/>
        <v>0</v>
      </c>
      <c r="N79" s="302">
        <v>1</v>
      </c>
      <c r="O79" s="303">
        <v>0</v>
      </c>
      <c r="P79" s="303">
        <v>0</v>
      </c>
      <c r="Q79" s="303">
        <v>0</v>
      </c>
      <c r="R79" s="303">
        <v>0</v>
      </c>
      <c r="S79" s="303">
        <v>0</v>
      </c>
      <c r="T79" s="303">
        <v>0</v>
      </c>
      <c r="U79" s="303">
        <v>0</v>
      </c>
      <c r="V79" s="298" t="str">
        <f t="shared" si="33"/>
        <v>ok</v>
      </c>
      <c r="W79" s="312" t="s">
        <v>713</v>
      </c>
      <c r="X79" s="315">
        <f>IF($W79="No",$M79*N79,$M79*N79*(1-'Policy Allocations'!G$7))</f>
        <v>0</v>
      </c>
      <c r="Y79" s="315">
        <f>IF($W79="No",$M79*O79,$M79*O79*(1-'Policy Allocations'!G$8))</f>
        <v>0</v>
      </c>
      <c r="Z79" s="315">
        <f>IF($W79="No",$M79*P79,$M79*P79*(1-'Policy Allocations'!G$9))</f>
        <v>0</v>
      </c>
      <c r="AA79" s="315">
        <f>IF($W79="No",$M79*Q79,$M79*Q79*(1-'Policy Allocations'!G$10))</f>
        <v>0</v>
      </c>
      <c r="AB79" s="315">
        <f>IF($W79="No",$M79*R79,$M79*R79*(1-'Policy Allocations'!G$11))</f>
        <v>0</v>
      </c>
      <c r="AC79" s="315">
        <f>IF($W79="No",$M79*S79,$M79*S79*(1-'Policy Allocations'!G$12))</f>
        <v>0</v>
      </c>
      <c r="AD79" s="315">
        <f>IF($W79="No",$M79*T79,$M79*T79*(1-'Policy Allocations'!G$13))</f>
        <v>0</v>
      </c>
      <c r="AE79" s="315">
        <f>IF($W79="No",$M79*U79,$M79*U79*(1-'Policy Allocations'!G$14))</f>
        <v>0</v>
      </c>
      <c r="AF79" s="315">
        <f t="shared" ref="AF79:AF88" si="40">M79-SUM(X79:AE79)</f>
        <v>0</v>
      </c>
      <c r="AG79" s="320">
        <f t="shared" ref="AG79:AG88" si="41">SUM(X79:AF79)</f>
        <v>0</v>
      </c>
      <c r="AH79" s="232"/>
      <c r="AI79" s="5"/>
      <c r="AJ79" s="5"/>
    </row>
    <row r="80" spans="1:36" s="14" customFormat="1">
      <c r="A80" s="238" t="s">
        <v>150</v>
      </c>
      <c r="B80" s="238" t="s">
        <v>88</v>
      </c>
      <c r="C80" s="238">
        <v>0</v>
      </c>
      <c r="D80" s="238" t="s">
        <v>1080</v>
      </c>
      <c r="E80" s="238" t="s">
        <v>712</v>
      </c>
      <c r="F80" s="238" t="s">
        <v>151</v>
      </c>
      <c r="G80" s="772">
        <f>VLOOKUP($A80,'Contracts '!$A$2:$J$87,10,FALSE)</f>
        <v>49200</v>
      </c>
      <c r="H80" s="232"/>
      <c r="I80" s="326">
        <f t="shared" si="30"/>
        <v>49200</v>
      </c>
      <c r="J80" s="325">
        <v>0.52</v>
      </c>
      <c r="K80" s="232">
        <f t="shared" si="37"/>
        <v>23616</v>
      </c>
      <c r="L80" s="232">
        <f t="shared" si="36"/>
        <v>57991.302492816707</v>
      </c>
      <c r="M80" s="289">
        <f t="shared" si="32"/>
        <v>81607.3024928167</v>
      </c>
      <c r="N80" s="302">
        <v>0</v>
      </c>
      <c r="O80" s="303">
        <v>1</v>
      </c>
      <c r="P80" s="303">
        <v>0</v>
      </c>
      <c r="Q80" s="303">
        <v>0</v>
      </c>
      <c r="R80" s="303">
        <v>0</v>
      </c>
      <c r="S80" s="303">
        <v>0</v>
      </c>
      <c r="T80" s="303">
        <v>0</v>
      </c>
      <c r="U80" s="303">
        <v>0</v>
      </c>
      <c r="V80" s="298" t="str">
        <f t="shared" si="33"/>
        <v>ok</v>
      </c>
      <c r="W80" s="312" t="s">
        <v>713</v>
      </c>
      <c r="X80" s="315">
        <f>IF($W80="No",$M80*N80,$M80*N80*(1-'Policy Allocations'!G$7))</f>
        <v>0</v>
      </c>
      <c r="Y80" s="315">
        <f>IF($W80="No",$M80*O80,$M80*O80*(1-'Policy Allocations'!G$8))</f>
        <v>81607.3024928167</v>
      </c>
      <c r="Z80" s="315">
        <f>IF($W80="No",$M80*P80,$M80*P80*(1-'Policy Allocations'!G$9))</f>
        <v>0</v>
      </c>
      <c r="AA80" s="315">
        <f>IF($W80="No",$M80*Q80,$M80*Q80*(1-'Policy Allocations'!G$10))</f>
        <v>0</v>
      </c>
      <c r="AB80" s="315">
        <f>IF($W80="No",$M80*R80,$M80*R80*(1-'Policy Allocations'!G$11))</f>
        <v>0</v>
      </c>
      <c r="AC80" s="315">
        <f>IF($W80="No",$M80*S80,$M80*S80*(1-'Policy Allocations'!G$12))</f>
        <v>0</v>
      </c>
      <c r="AD80" s="315">
        <f>IF($W80="No",$M80*T80,$M80*T80*(1-'Policy Allocations'!G$13))</f>
        <v>0</v>
      </c>
      <c r="AE80" s="315">
        <f>IF($W80="No",$M80*U80,$M80*U80*(1-'Policy Allocations'!G$14))</f>
        <v>0</v>
      </c>
      <c r="AF80" s="315">
        <f t="shared" si="40"/>
        <v>0</v>
      </c>
      <c r="AG80" s="320">
        <f t="shared" si="41"/>
        <v>81607.3024928167</v>
      </c>
      <c r="AH80" s="232"/>
      <c r="AI80" s="5"/>
      <c r="AJ80" s="5"/>
    </row>
    <row r="81" spans="1:36" s="14" customFormat="1">
      <c r="A81" s="238" t="s">
        <v>152</v>
      </c>
      <c r="B81" s="238" t="s">
        <v>88</v>
      </c>
      <c r="C81" s="238">
        <v>0</v>
      </c>
      <c r="D81" s="238" t="s">
        <v>1066</v>
      </c>
      <c r="E81" s="238" t="s">
        <v>179</v>
      </c>
      <c r="F81" s="238" t="s">
        <v>153</v>
      </c>
      <c r="G81" s="772">
        <f>VLOOKUP($A81,'Contracts '!$A$2:$J$87,10,FALSE)</f>
        <v>97200</v>
      </c>
      <c r="H81" s="232"/>
      <c r="I81" s="326">
        <f t="shared" si="30"/>
        <v>97200</v>
      </c>
      <c r="J81" s="325">
        <v>0.52</v>
      </c>
      <c r="K81" s="232">
        <f t="shared" si="37"/>
        <v>46656</v>
      </c>
      <c r="L81" s="232">
        <f t="shared" si="36"/>
        <v>114568.18297361351</v>
      </c>
      <c r="M81" s="289">
        <f t="shared" si="32"/>
        <v>161224.1829736135</v>
      </c>
      <c r="N81" s="302">
        <v>0</v>
      </c>
      <c r="O81" s="303">
        <v>1</v>
      </c>
      <c r="P81" s="303">
        <v>0</v>
      </c>
      <c r="Q81" s="303">
        <v>0</v>
      </c>
      <c r="R81" s="303">
        <v>0</v>
      </c>
      <c r="S81" s="303">
        <v>0</v>
      </c>
      <c r="T81" s="303">
        <v>0</v>
      </c>
      <c r="U81" s="303">
        <v>0</v>
      </c>
      <c r="V81" s="298" t="str">
        <f t="shared" si="33"/>
        <v>ok</v>
      </c>
      <c r="W81" s="312" t="s">
        <v>713</v>
      </c>
      <c r="X81" s="315">
        <f>IF($W81="No",$M81*N81,$M81*N81*(1-'Policy Allocations'!G$7))</f>
        <v>0</v>
      </c>
      <c r="Y81" s="315">
        <f>IF($W81="No",$M81*O81,$M81*O81*(1-'Policy Allocations'!G$8))</f>
        <v>161224.1829736135</v>
      </c>
      <c r="Z81" s="315">
        <f>IF($W81="No",$M81*P81,$M81*P81*(1-'Policy Allocations'!G$9))</f>
        <v>0</v>
      </c>
      <c r="AA81" s="315">
        <f>IF($W81="No",$M81*Q81,$M81*Q81*(1-'Policy Allocations'!G$10))</f>
        <v>0</v>
      </c>
      <c r="AB81" s="315">
        <f>IF($W81="No",$M81*R81,$M81*R81*(1-'Policy Allocations'!G$11))</f>
        <v>0</v>
      </c>
      <c r="AC81" s="315">
        <f>IF($W81="No",$M81*S81,$M81*S81*(1-'Policy Allocations'!G$12))</f>
        <v>0</v>
      </c>
      <c r="AD81" s="315">
        <f>IF($W81="No",$M81*T81,$M81*T81*(1-'Policy Allocations'!G$13))</f>
        <v>0</v>
      </c>
      <c r="AE81" s="315">
        <f>IF($W81="No",$M81*U81,$M81*U81*(1-'Policy Allocations'!G$14))</f>
        <v>0</v>
      </c>
      <c r="AF81" s="315">
        <f t="shared" si="40"/>
        <v>0</v>
      </c>
      <c r="AG81" s="320">
        <f t="shared" si="41"/>
        <v>161224.1829736135</v>
      </c>
      <c r="AH81" s="232"/>
      <c r="AI81" s="5"/>
      <c r="AJ81" s="5"/>
    </row>
    <row r="82" spans="1:36" s="14" customFormat="1">
      <c r="A82" s="238" t="s">
        <v>154</v>
      </c>
      <c r="B82" s="238" t="s">
        <v>88</v>
      </c>
      <c r="C82" s="238">
        <v>0</v>
      </c>
      <c r="D82" s="238" t="s">
        <v>1069</v>
      </c>
      <c r="E82" s="238" t="s">
        <v>787</v>
      </c>
      <c r="F82" s="238" t="s">
        <v>155</v>
      </c>
      <c r="G82" s="772">
        <f>VLOOKUP($A82,'Contracts '!$A$2:$J$87,10,FALSE)</f>
        <v>85200</v>
      </c>
      <c r="H82" s="232"/>
      <c r="I82" s="326">
        <f t="shared" si="30"/>
        <v>85200</v>
      </c>
      <c r="J82" s="325">
        <v>0.52</v>
      </c>
      <c r="K82" s="232">
        <f t="shared" si="37"/>
        <v>40896</v>
      </c>
      <c r="L82" s="232">
        <f t="shared" si="36"/>
        <v>100423.96285341431</v>
      </c>
      <c r="M82" s="289">
        <f t="shared" si="32"/>
        <v>141319.9628534143</v>
      </c>
      <c r="N82" s="302">
        <v>0</v>
      </c>
      <c r="O82" s="303">
        <v>0</v>
      </c>
      <c r="P82" s="303">
        <v>1</v>
      </c>
      <c r="Q82" s="303">
        <v>0</v>
      </c>
      <c r="R82" s="303">
        <v>0</v>
      </c>
      <c r="S82" s="303">
        <v>0</v>
      </c>
      <c r="T82" s="303">
        <v>0</v>
      </c>
      <c r="U82" s="303">
        <v>0</v>
      </c>
      <c r="V82" s="298" t="str">
        <f t="shared" si="33"/>
        <v>ok</v>
      </c>
      <c r="W82" s="312" t="s">
        <v>713</v>
      </c>
      <c r="X82" s="315">
        <f>IF($W82="No",$M82*N82,$M82*N82*(1-'Policy Allocations'!G$7))</f>
        <v>0</v>
      </c>
      <c r="Y82" s="315">
        <f>IF($W82="No",$M82*O82,$M82*O82*(1-'Policy Allocations'!G$8))</f>
        <v>0</v>
      </c>
      <c r="Z82" s="315">
        <f>IF($W82="No",$M82*P82,$M82*P82*(1-'Policy Allocations'!G$9))</f>
        <v>141319.9628534143</v>
      </c>
      <c r="AA82" s="315">
        <f>IF($W82="No",$M82*Q82,$M82*Q82*(1-'Policy Allocations'!G$10))</f>
        <v>0</v>
      </c>
      <c r="AB82" s="315">
        <f>IF($W82="No",$M82*R82,$M82*R82*(1-'Policy Allocations'!G$11))</f>
        <v>0</v>
      </c>
      <c r="AC82" s="315">
        <f>IF($W82="No",$M82*S82,$M82*S82*(1-'Policy Allocations'!G$12))</f>
        <v>0</v>
      </c>
      <c r="AD82" s="315">
        <f>IF($W82="No",$M82*T82,$M82*T82*(1-'Policy Allocations'!G$13))</f>
        <v>0</v>
      </c>
      <c r="AE82" s="315">
        <f>IF($W82="No",$M82*U82,$M82*U82*(1-'Policy Allocations'!G$14))</f>
        <v>0</v>
      </c>
      <c r="AF82" s="315">
        <f t="shared" si="40"/>
        <v>0</v>
      </c>
      <c r="AG82" s="320">
        <f t="shared" si="41"/>
        <v>141319.9628534143</v>
      </c>
      <c r="AH82" s="232"/>
      <c r="AI82" s="5"/>
      <c r="AJ82" s="5"/>
    </row>
    <row r="83" spans="1:36" s="14" customFormat="1">
      <c r="A83" s="238" t="s">
        <v>156</v>
      </c>
      <c r="B83" s="238" t="s">
        <v>88</v>
      </c>
      <c r="C83" s="238">
        <v>0</v>
      </c>
      <c r="D83" s="238" t="s">
        <v>1074</v>
      </c>
      <c r="E83" s="238" t="s">
        <v>184</v>
      </c>
      <c r="F83" s="238" t="s">
        <v>157</v>
      </c>
      <c r="G83" s="772">
        <f>VLOOKUP($A83,'Contracts '!$A$2:$J$87,10,FALSE)</f>
        <v>38400</v>
      </c>
      <c r="H83" s="232"/>
      <c r="I83" s="326">
        <f t="shared" si="30"/>
        <v>38400</v>
      </c>
      <c r="J83" s="325">
        <v>0.52</v>
      </c>
      <c r="K83" s="232">
        <f t="shared" si="37"/>
        <v>18432</v>
      </c>
      <c r="L83" s="232">
        <f t="shared" si="36"/>
        <v>45261.504384637432</v>
      </c>
      <c r="M83" s="289">
        <f t="shared" si="32"/>
        <v>63693.504384637432</v>
      </c>
      <c r="N83" s="302">
        <v>0</v>
      </c>
      <c r="O83" s="303">
        <v>1</v>
      </c>
      <c r="P83" s="303">
        <v>0</v>
      </c>
      <c r="Q83" s="303">
        <v>0</v>
      </c>
      <c r="R83" s="303">
        <v>0</v>
      </c>
      <c r="S83" s="303">
        <v>0</v>
      </c>
      <c r="T83" s="303">
        <v>0</v>
      </c>
      <c r="U83" s="303">
        <v>0</v>
      </c>
      <c r="V83" s="298" t="str">
        <f t="shared" si="33"/>
        <v>ok</v>
      </c>
      <c r="W83" s="312" t="s">
        <v>713</v>
      </c>
      <c r="X83" s="315">
        <f>IF($W83="No",$M83*N83,$M83*N83*(1-'Policy Allocations'!G$7))</f>
        <v>0</v>
      </c>
      <c r="Y83" s="315">
        <f>IF($W83="No",$M83*O83,$M83*O83*(1-'Policy Allocations'!G$8))</f>
        <v>63693.504384637432</v>
      </c>
      <c r="Z83" s="315">
        <f>IF($W83="No",$M83*P83,$M83*P83*(1-'Policy Allocations'!G$9))</f>
        <v>0</v>
      </c>
      <c r="AA83" s="315">
        <f>IF($W83="No",$M83*Q83,$M83*Q83*(1-'Policy Allocations'!G$10))</f>
        <v>0</v>
      </c>
      <c r="AB83" s="315">
        <f>IF($W83="No",$M83*R83,$M83*R83*(1-'Policy Allocations'!G$11))</f>
        <v>0</v>
      </c>
      <c r="AC83" s="315">
        <f>IF($W83="No",$M83*S83,$M83*S83*(1-'Policy Allocations'!G$12))</f>
        <v>0</v>
      </c>
      <c r="AD83" s="315">
        <f>IF($W83="No",$M83*T83,$M83*T83*(1-'Policy Allocations'!G$13))</f>
        <v>0</v>
      </c>
      <c r="AE83" s="315">
        <f>IF($W83="No",$M83*U83,$M83*U83*(1-'Policy Allocations'!G$14))</f>
        <v>0</v>
      </c>
      <c r="AF83" s="315">
        <f t="shared" si="40"/>
        <v>0</v>
      </c>
      <c r="AG83" s="320">
        <f t="shared" si="41"/>
        <v>63693.504384637432</v>
      </c>
      <c r="AH83" s="232"/>
      <c r="AI83" s="5"/>
      <c r="AJ83" s="5"/>
    </row>
    <row r="84" spans="1:36" s="14" customFormat="1">
      <c r="A84" s="239" t="s">
        <v>168</v>
      </c>
      <c r="B84" s="239" t="s">
        <v>185</v>
      </c>
      <c r="C84" s="239">
        <v>0</v>
      </c>
      <c r="D84" s="239" t="s">
        <v>1089</v>
      </c>
      <c r="E84" s="239" t="s">
        <v>192</v>
      </c>
      <c r="F84" s="239" t="s">
        <v>169</v>
      </c>
      <c r="G84" s="772">
        <f>VLOOKUP($A84,'Contracts '!$A$2:$J$87,10,FALSE)</f>
        <v>88800</v>
      </c>
      <c r="H84" s="232"/>
      <c r="I84" s="326">
        <f t="shared" si="30"/>
        <v>88800</v>
      </c>
      <c r="J84" s="325">
        <v>0.52</v>
      </c>
      <c r="K84" s="232">
        <f>I84*(1-J84)</f>
        <v>42624</v>
      </c>
      <c r="L84" s="232">
        <f t="shared" si="36"/>
        <v>104667.22888947405</v>
      </c>
      <c r="M84" s="289">
        <f>SUM(K84:L84)</f>
        <v>147291.22888947406</v>
      </c>
      <c r="N84" s="302">
        <v>1</v>
      </c>
      <c r="O84" s="303">
        <v>0</v>
      </c>
      <c r="P84" s="303">
        <v>0</v>
      </c>
      <c r="Q84" s="303">
        <v>0</v>
      </c>
      <c r="R84" s="303">
        <v>0</v>
      </c>
      <c r="S84" s="303">
        <v>0</v>
      </c>
      <c r="T84" s="303">
        <v>0</v>
      </c>
      <c r="U84" s="303">
        <v>0</v>
      </c>
      <c r="V84" s="298" t="str">
        <f t="shared" ref="V84:V99" si="42">IF(SUM(N84:U84)&lt;&gt;1,"error","ok")</f>
        <v>ok</v>
      </c>
      <c r="W84" s="312" t="s">
        <v>713</v>
      </c>
      <c r="X84" s="315">
        <f>IF($W84="No",$M84*N84,$M84*N84*(1-'Policy Allocations'!G$7))</f>
        <v>147291.22888947406</v>
      </c>
      <c r="Y84" s="315">
        <f>IF($W84="No",$M84*O84,$M84*O84*(1-'Policy Allocations'!G$8))</f>
        <v>0</v>
      </c>
      <c r="Z84" s="315">
        <f>IF($W84="No",$M84*P84,$M84*P84*(1-'Policy Allocations'!G$9))</f>
        <v>0</v>
      </c>
      <c r="AA84" s="315">
        <f>IF($W84="No",$M84*Q84,$M84*Q84*(1-'Policy Allocations'!G$10))</f>
        <v>0</v>
      </c>
      <c r="AB84" s="315">
        <f>IF($W84="No",$M84*R84,$M84*R84*(1-'Policy Allocations'!G$11))</f>
        <v>0</v>
      </c>
      <c r="AC84" s="315">
        <f>IF($W84="No",$M84*S84,$M84*S84*(1-'Policy Allocations'!G$12))</f>
        <v>0</v>
      </c>
      <c r="AD84" s="315">
        <f>IF($W84="No",$M84*T84,$M84*T84*(1-'Policy Allocations'!G$13))</f>
        <v>0</v>
      </c>
      <c r="AE84" s="315">
        <f>IF($W84="No",$M84*U84,$M84*U84*(1-'Policy Allocations'!G$14))</f>
        <v>0</v>
      </c>
      <c r="AF84" s="315">
        <f t="shared" si="40"/>
        <v>0</v>
      </c>
      <c r="AG84" s="320">
        <f t="shared" si="41"/>
        <v>147291.22888947406</v>
      </c>
      <c r="AH84" s="232"/>
      <c r="AI84" s="5"/>
      <c r="AJ84" s="5"/>
    </row>
    <row r="85" spans="1:36" s="14" customFormat="1">
      <c r="A85" s="239" t="s">
        <v>170</v>
      </c>
      <c r="B85" s="239" t="s">
        <v>185</v>
      </c>
      <c r="C85" s="239">
        <v>0</v>
      </c>
      <c r="D85" s="239" t="s">
        <v>1085</v>
      </c>
      <c r="E85" s="239" t="s">
        <v>737</v>
      </c>
      <c r="F85" s="239" t="s">
        <v>171</v>
      </c>
      <c r="G85" s="772">
        <f>VLOOKUP($A85,'Contracts '!$A$2:$J$87,10,FALSE)</f>
        <v>97200</v>
      </c>
      <c r="H85" s="232"/>
      <c r="I85" s="326">
        <f>SUM(G85:H85)</f>
        <v>97200</v>
      </c>
      <c r="J85" s="325">
        <v>0.52</v>
      </c>
      <c r="K85" s="232">
        <f>I85*(1-J85)</f>
        <v>46656</v>
      </c>
      <c r="L85" s="232">
        <f t="shared" si="36"/>
        <v>114568.18297361351</v>
      </c>
      <c r="M85" s="289">
        <f>SUM(K85:L85)</f>
        <v>161224.1829736135</v>
      </c>
      <c r="N85" s="302">
        <v>0</v>
      </c>
      <c r="O85" s="303">
        <v>0</v>
      </c>
      <c r="P85" s="303">
        <v>0</v>
      </c>
      <c r="Q85" s="303">
        <v>1</v>
      </c>
      <c r="R85" s="303">
        <v>0</v>
      </c>
      <c r="S85" s="303">
        <v>0</v>
      </c>
      <c r="T85" s="303">
        <v>0</v>
      </c>
      <c r="U85" s="303">
        <v>0</v>
      </c>
      <c r="V85" s="298" t="str">
        <f t="shared" si="42"/>
        <v>ok</v>
      </c>
      <c r="W85" s="312" t="s">
        <v>713</v>
      </c>
      <c r="X85" s="315">
        <f>IF($W85="No",$M85*N85,$M85*N85*(1-'Policy Allocations'!G$7))</f>
        <v>0</v>
      </c>
      <c r="Y85" s="315">
        <f>IF($W85="No",$M85*O85,$M85*O85*(1-'Policy Allocations'!G$8))</f>
        <v>0</v>
      </c>
      <c r="Z85" s="315">
        <f>IF($W85="No",$M85*P85,$M85*P85*(1-'Policy Allocations'!G$9))</f>
        <v>0</v>
      </c>
      <c r="AA85" s="315">
        <f>IF($W85="No",$M85*Q85,$M85*Q85*(1-'Policy Allocations'!G$10))</f>
        <v>161224.1829736135</v>
      </c>
      <c r="AB85" s="315">
        <f>IF($W85="No",$M85*R85,$M85*R85*(1-'Policy Allocations'!G$11))</f>
        <v>0</v>
      </c>
      <c r="AC85" s="315">
        <f>IF($W85="No",$M85*S85,$M85*S85*(1-'Policy Allocations'!G$12))</f>
        <v>0</v>
      </c>
      <c r="AD85" s="315">
        <f>IF($W85="No",$M85*T85,$M85*T85*(1-'Policy Allocations'!G$13))</f>
        <v>0</v>
      </c>
      <c r="AE85" s="315">
        <f>IF($W85="No",$M85*U85,$M85*U85*(1-'Policy Allocations'!G$14))</f>
        <v>0</v>
      </c>
      <c r="AF85" s="315">
        <f t="shared" si="40"/>
        <v>0</v>
      </c>
      <c r="AG85" s="320">
        <f t="shared" si="41"/>
        <v>161224.1829736135</v>
      </c>
      <c r="AH85" s="232"/>
      <c r="AI85" s="5"/>
      <c r="AJ85" s="5"/>
    </row>
    <row r="86" spans="1:36" s="14" customFormat="1">
      <c r="A86" s="239" t="s">
        <v>172</v>
      </c>
      <c r="B86" s="239" t="s">
        <v>185</v>
      </c>
      <c r="C86" s="239">
        <v>0</v>
      </c>
      <c r="D86" s="239" t="s">
        <v>1083</v>
      </c>
      <c r="E86" s="239" t="s">
        <v>822</v>
      </c>
      <c r="F86" s="239" t="s">
        <v>173</v>
      </c>
      <c r="G86" s="772">
        <f>VLOOKUP($A86,'Contracts '!$A$2:$J$87,10,FALSE)</f>
        <v>25200</v>
      </c>
      <c r="H86" s="232"/>
      <c r="I86" s="326">
        <f>SUM(G86:H86)</f>
        <v>25200</v>
      </c>
      <c r="J86" s="325">
        <v>0.52</v>
      </c>
      <c r="K86" s="232">
        <f>I86*(1-J86)</f>
        <v>12096</v>
      </c>
      <c r="L86" s="232">
        <f t="shared" si="36"/>
        <v>29702.862252418316</v>
      </c>
      <c r="M86" s="289">
        <f>SUM(K86:L86)</f>
        <v>41798.862252418316</v>
      </c>
      <c r="N86" s="302">
        <v>0</v>
      </c>
      <c r="O86" s="303">
        <v>0</v>
      </c>
      <c r="P86" s="303">
        <v>0</v>
      </c>
      <c r="Q86" s="303">
        <v>0</v>
      </c>
      <c r="R86" s="303">
        <v>1</v>
      </c>
      <c r="S86" s="303">
        <v>0</v>
      </c>
      <c r="T86" s="303">
        <v>0</v>
      </c>
      <c r="U86" s="303">
        <v>0</v>
      </c>
      <c r="V86" s="298" t="str">
        <f t="shared" si="42"/>
        <v>ok</v>
      </c>
      <c r="W86" s="312" t="s">
        <v>713</v>
      </c>
      <c r="X86" s="315">
        <f>IF($W86="No",$M86*N86,$M86*N86*(1-'Policy Allocations'!G$7))</f>
        <v>0</v>
      </c>
      <c r="Y86" s="315">
        <f>IF($W86="No",$M86*O86,$M86*O86*(1-'Policy Allocations'!G$8))</f>
        <v>0</v>
      </c>
      <c r="Z86" s="315">
        <f>IF($W86="No",$M86*P86,$M86*P86*(1-'Policy Allocations'!G$9))</f>
        <v>0</v>
      </c>
      <c r="AA86" s="315">
        <f>IF($W86="No",$M86*Q86,$M86*Q86*(1-'Policy Allocations'!G$10))</f>
        <v>0</v>
      </c>
      <c r="AB86" s="315">
        <f>IF($W86="No",$M86*R86,$M86*R86*(1-'Policy Allocations'!G$11))</f>
        <v>41798.862252418316</v>
      </c>
      <c r="AC86" s="315">
        <f>IF($W86="No",$M86*S86,$M86*S86*(1-'Policy Allocations'!G$12))</f>
        <v>0</v>
      </c>
      <c r="AD86" s="315">
        <f>IF($W86="No",$M86*T86,$M86*T86*(1-'Policy Allocations'!G$13))</f>
        <v>0</v>
      </c>
      <c r="AE86" s="315">
        <f>IF($W86="No",$M86*U86,$M86*U86*(1-'Policy Allocations'!G$14))</f>
        <v>0</v>
      </c>
      <c r="AF86" s="315">
        <f t="shared" si="40"/>
        <v>0</v>
      </c>
      <c r="AG86" s="320">
        <f t="shared" si="41"/>
        <v>41798.862252418316</v>
      </c>
      <c r="AH86" s="232"/>
      <c r="AI86" s="5"/>
      <c r="AJ86" s="5"/>
    </row>
    <row r="87" spans="1:36" s="14" customFormat="1">
      <c r="A87" s="240" t="s">
        <v>175</v>
      </c>
      <c r="B87" s="240" t="s">
        <v>224</v>
      </c>
      <c r="C87" s="240">
        <v>0</v>
      </c>
      <c r="D87" s="240" t="s">
        <v>1069</v>
      </c>
      <c r="E87" s="240" t="s">
        <v>787</v>
      </c>
      <c r="F87" s="240" t="s">
        <v>174</v>
      </c>
      <c r="G87" s="772">
        <f>VLOOKUP($A87,'Contracts '!$A$2:$J$87,10,FALSE)</f>
        <v>158400</v>
      </c>
      <c r="H87" s="232"/>
      <c r="I87" s="326">
        <f>SUM(G87:H87)</f>
        <v>158400</v>
      </c>
      <c r="J87" s="325">
        <v>0.52</v>
      </c>
      <c r="K87" s="232">
        <f>I87*(1-J87)</f>
        <v>76032</v>
      </c>
      <c r="L87" s="232">
        <f t="shared" si="36"/>
        <v>186703.7055866294</v>
      </c>
      <c r="M87" s="289">
        <f>SUM(K87:L87)</f>
        <v>262735.7055866294</v>
      </c>
      <c r="N87" s="302">
        <v>0</v>
      </c>
      <c r="O87" s="303">
        <v>0</v>
      </c>
      <c r="P87" s="303">
        <v>1</v>
      </c>
      <c r="Q87" s="303">
        <v>0</v>
      </c>
      <c r="R87" s="303">
        <v>0</v>
      </c>
      <c r="S87" s="303">
        <v>0</v>
      </c>
      <c r="T87" s="303">
        <v>0</v>
      </c>
      <c r="U87" s="303">
        <v>0</v>
      </c>
      <c r="V87" s="298" t="str">
        <f t="shared" si="42"/>
        <v>ok</v>
      </c>
      <c r="W87" s="312" t="s">
        <v>713</v>
      </c>
      <c r="X87" s="315">
        <f>IF($W87="No",$M87*N87,$M87*N87*(1-'Policy Allocations'!G$7))</f>
        <v>0</v>
      </c>
      <c r="Y87" s="315">
        <f>IF($W87="No",$M87*O87,$M87*O87*(1-'Policy Allocations'!G$8))</f>
        <v>0</v>
      </c>
      <c r="Z87" s="315">
        <f>IF($W87="No",$M87*P87,$M87*P87*(1-'Policy Allocations'!G$9))</f>
        <v>262735.7055866294</v>
      </c>
      <c r="AA87" s="315">
        <f>IF($W87="No",$M87*Q87,$M87*Q87*(1-'Policy Allocations'!G$10))</f>
        <v>0</v>
      </c>
      <c r="AB87" s="315">
        <f>IF($W87="No",$M87*R87,$M87*R87*(1-'Policy Allocations'!G$11))</f>
        <v>0</v>
      </c>
      <c r="AC87" s="315">
        <f>IF($W87="No",$M87*S87,$M87*S87*(1-'Policy Allocations'!G$12))</f>
        <v>0</v>
      </c>
      <c r="AD87" s="315">
        <f>IF($W87="No",$M87*T87,$M87*T87*(1-'Policy Allocations'!G$13))</f>
        <v>0</v>
      </c>
      <c r="AE87" s="315">
        <f>IF($W87="No",$M87*U87,$M87*U87*(1-'Policy Allocations'!G$14))</f>
        <v>0</v>
      </c>
      <c r="AF87" s="315">
        <f t="shared" si="40"/>
        <v>0</v>
      </c>
      <c r="AG87" s="320">
        <f t="shared" si="41"/>
        <v>262735.7055866294</v>
      </c>
      <c r="AH87" s="232"/>
      <c r="AI87" s="5"/>
      <c r="AJ87" s="5"/>
    </row>
    <row r="88" spans="1:36" s="14" customFormat="1">
      <c r="A88" s="435" t="s">
        <v>177</v>
      </c>
      <c r="B88" s="235" t="s">
        <v>975</v>
      </c>
      <c r="C88" s="235">
        <v>0</v>
      </c>
      <c r="D88" s="235" t="s">
        <v>1096</v>
      </c>
      <c r="E88" s="235" t="s">
        <v>738</v>
      </c>
      <c r="F88" s="235" t="s">
        <v>178</v>
      </c>
      <c r="G88" s="771">
        <f>VLOOKUP($A88,'Contracts '!$A$2:$J$87,10,FALSE)</f>
        <v>0</v>
      </c>
      <c r="H88" s="232"/>
      <c r="I88" s="326">
        <f>SUM(G88:H88)</f>
        <v>0</v>
      </c>
      <c r="J88" s="325">
        <v>0</v>
      </c>
      <c r="K88" s="232">
        <f>I88*(1-J88)</f>
        <v>0</v>
      </c>
      <c r="L88" s="232">
        <f t="shared" si="36"/>
        <v>0</v>
      </c>
      <c r="M88" s="289">
        <f>SUM(K88:L88)</f>
        <v>0</v>
      </c>
      <c r="N88" s="302">
        <v>0</v>
      </c>
      <c r="O88" s="303">
        <v>0</v>
      </c>
      <c r="P88" s="303">
        <v>0</v>
      </c>
      <c r="Q88" s="303">
        <v>0</v>
      </c>
      <c r="R88" s="303">
        <v>0</v>
      </c>
      <c r="S88" s="303">
        <v>0.33339999999999997</v>
      </c>
      <c r="T88" s="303">
        <v>0.33329999999999999</v>
      </c>
      <c r="U88" s="303">
        <v>0.33329999999999999</v>
      </c>
      <c r="V88" s="298" t="str">
        <f t="shared" si="42"/>
        <v>ok</v>
      </c>
      <c r="W88" s="312" t="s">
        <v>713</v>
      </c>
      <c r="X88" s="315">
        <f>IF($W88="No",$M88*N88,$M88*N88*(1-'Policy Allocations'!G$7))</f>
        <v>0</v>
      </c>
      <c r="Y88" s="315">
        <f>IF($W88="No",$M88*O88,$M88*O88*(1-'Policy Allocations'!G$8))</f>
        <v>0</v>
      </c>
      <c r="Z88" s="315">
        <f>IF($W88="No",$M88*P88,$M88*P88*(1-'Policy Allocations'!G$9))</f>
        <v>0</v>
      </c>
      <c r="AA88" s="315">
        <f>IF($W88="No",$M88*Q88,$M88*Q88*(1-'Policy Allocations'!G$10))</f>
        <v>0</v>
      </c>
      <c r="AB88" s="315">
        <f>IF($W88="No",$M88*R88,$M88*R88*(1-'Policy Allocations'!G$11))</f>
        <v>0</v>
      </c>
      <c r="AC88" s="315">
        <f>IF($W88="No",$M88*S88,$M88*S88*(1-'Policy Allocations'!G$12))</f>
        <v>0</v>
      </c>
      <c r="AD88" s="315">
        <f>IF($W88="No",$M88*T88,$M88*T88*(1-'Policy Allocations'!G$13))</f>
        <v>0</v>
      </c>
      <c r="AE88" s="315">
        <f>IF($W88="No",$M88*U88,$M88*U88*(1-'Policy Allocations'!G$14))</f>
        <v>0</v>
      </c>
      <c r="AF88" s="315">
        <f t="shared" si="40"/>
        <v>0</v>
      </c>
      <c r="AG88" s="320">
        <f t="shared" si="41"/>
        <v>0</v>
      </c>
      <c r="AH88" s="232"/>
    </row>
    <row r="89" spans="1:36" s="14" customFormat="1">
      <c r="A89" s="435"/>
      <c r="B89" s="235"/>
      <c r="C89" s="235"/>
      <c r="D89" s="235"/>
      <c r="E89" s="235"/>
      <c r="F89" s="235"/>
      <c r="G89" s="234"/>
      <c r="H89" s="232"/>
      <c r="I89" s="326"/>
      <c r="J89" s="325"/>
      <c r="K89" s="232"/>
      <c r="L89" s="232"/>
      <c r="M89" s="289"/>
      <c r="N89" s="302"/>
      <c r="O89" s="303"/>
      <c r="P89" s="303"/>
      <c r="Q89" s="303"/>
      <c r="R89" s="303"/>
      <c r="S89" s="303"/>
      <c r="T89" s="303"/>
      <c r="U89" s="303"/>
      <c r="V89" s="298"/>
      <c r="W89" s="312"/>
      <c r="X89" s="315"/>
      <c r="Y89" s="315"/>
      <c r="Z89" s="315"/>
      <c r="AA89" s="315"/>
      <c r="AB89" s="315"/>
      <c r="AC89" s="315"/>
      <c r="AD89" s="315"/>
      <c r="AE89" s="315"/>
      <c r="AF89" s="315"/>
      <c r="AG89" s="320"/>
      <c r="AH89" s="232"/>
    </row>
    <row r="90" spans="1:36" s="14" customFormat="1">
      <c r="A90" s="435"/>
      <c r="B90" s="235"/>
      <c r="C90" s="235"/>
      <c r="D90" s="235"/>
      <c r="E90" s="235"/>
      <c r="F90" s="235"/>
      <c r="G90" s="234"/>
      <c r="H90" s="232"/>
      <c r="I90" s="326"/>
      <c r="J90" s="325"/>
      <c r="K90" s="232"/>
      <c r="L90" s="232"/>
      <c r="M90" s="289"/>
      <c r="N90" s="302"/>
      <c r="O90" s="303"/>
      <c r="P90" s="303"/>
      <c r="Q90" s="303"/>
      <c r="R90" s="303"/>
      <c r="S90" s="303"/>
      <c r="T90" s="303"/>
      <c r="U90" s="303"/>
      <c r="V90" s="298"/>
      <c r="W90" s="312"/>
      <c r="X90" s="315"/>
      <c r="Y90" s="315"/>
      <c r="Z90" s="315"/>
      <c r="AA90" s="315"/>
      <c r="AB90" s="315"/>
      <c r="AC90" s="315"/>
      <c r="AD90" s="315"/>
      <c r="AE90" s="315"/>
      <c r="AF90" s="315"/>
      <c r="AG90" s="320"/>
      <c r="AH90" s="232"/>
    </row>
    <row r="91" spans="1:36" s="14" customFormat="1">
      <c r="A91" s="15" t="s">
        <v>777</v>
      </c>
      <c r="F91" s="243"/>
      <c r="G91" s="327">
        <f>SUM(G5:G90)</f>
        <v>639600</v>
      </c>
      <c r="H91" s="233">
        <f>SUM(H5:H90)</f>
        <v>0</v>
      </c>
      <c r="I91" s="286">
        <f>SUM(I5:I90)</f>
        <v>639600</v>
      </c>
      <c r="J91" s="324"/>
      <c r="K91" s="233">
        <f>SUM(K5:K90)</f>
        <v>307008</v>
      </c>
      <c r="L91" s="233">
        <f>SUM(L5:L90)</f>
        <v>753886.93240661733</v>
      </c>
      <c r="M91" s="273">
        <f>SUM(M5:M90)</f>
        <v>1060894.9324066171</v>
      </c>
      <c r="N91" s="302"/>
      <c r="O91" s="303"/>
      <c r="P91" s="303"/>
      <c r="Q91" s="303"/>
      <c r="R91" s="303"/>
      <c r="S91" s="303"/>
      <c r="T91" s="303"/>
      <c r="U91" s="303"/>
      <c r="V91" s="298"/>
      <c r="W91" s="312"/>
      <c r="X91" s="233">
        <f t="shared" ref="X91:AG91" si="43">SUM(X5:X90)</f>
        <v>147291.22888947406</v>
      </c>
      <c r="Y91" s="233">
        <f t="shared" si="43"/>
        <v>306524.98985106766</v>
      </c>
      <c r="Z91" s="233">
        <f t="shared" si="43"/>
        <v>404055.66844004369</v>
      </c>
      <c r="AA91" s="233">
        <f t="shared" si="43"/>
        <v>161224.1829736135</v>
      </c>
      <c r="AB91" s="233">
        <f t="shared" si="43"/>
        <v>41798.862252418316</v>
      </c>
      <c r="AC91" s="233">
        <f t="shared" si="43"/>
        <v>0</v>
      </c>
      <c r="AD91" s="233">
        <f t="shared" si="43"/>
        <v>0</v>
      </c>
      <c r="AE91" s="233">
        <f t="shared" si="43"/>
        <v>0</v>
      </c>
      <c r="AF91" s="233">
        <f t="shared" si="43"/>
        <v>0</v>
      </c>
      <c r="AG91" s="273">
        <f t="shared" si="43"/>
        <v>1060894.9324066171</v>
      </c>
      <c r="AH91" s="232"/>
      <c r="AI91" s="5"/>
      <c r="AJ91" s="5"/>
    </row>
    <row r="92" spans="1:36" s="14" customFormat="1">
      <c r="F92" s="235"/>
      <c r="G92" s="234"/>
      <c r="H92" s="232"/>
      <c r="I92" s="326"/>
      <c r="J92" s="324"/>
      <c r="K92" s="232"/>
      <c r="L92" s="232"/>
      <c r="M92" s="289"/>
      <c r="N92" s="302"/>
      <c r="O92" s="303"/>
      <c r="P92" s="303"/>
      <c r="Q92" s="303"/>
      <c r="R92" s="303"/>
      <c r="S92" s="303"/>
      <c r="T92" s="303"/>
      <c r="U92" s="303"/>
      <c r="V92" s="298"/>
      <c r="W92" s="312"/>
      <c r="X92" s="315"/>
      <c r="Y92" s="315"/>
      <c r="Z92" s="315"/>
      <c r="AA92" s="315"/>
      <c r="AB92" s="315"/>
      <c r="AC92" s="315"/>
      <c r="AD92" s="315"/>
      <c r="AE92" s="315"/>
      <c r="AF92" s="315"/>
      <c r="AG92" s="320"/>
      <c r="AH92" s="232"/>
      <c r="AI92" s="5"/>
      <c r="AJ92" s="5"/>
    </row>
    <row r="93" spans="1:36" s="14" customFormat="1" outlineLevel="1">
      <c r="A93" s="248" t="s">
        <v>570</v>
      </c>
      <c r="B93" s="245"/>
      <c r="C93" s="245"/>
      <c r="D93" s="245"/>
      <c r="E93" s="245"/>
      <c r="F93" s="244"/>
      <c r="G93" s="328"/>
      <c r="H93" s="246"/>
      <c r="I93" s="329"/>
      <c r="J93" s="324"/>
      <c r="K93" s="246"/>
      <c r="L93" s="232"/>
      <c r="M93" s="289"/>
      <c r="N93" s="302"/>
      <c r="O93" s="303"/>
      <c r="P93" s="303"/>
      <c r="Q93" s="303"/>
      <c r="R93" s="303"/>
      <c r="S93" s="303"/>
      <c r="T93" s="303"/>
      <c r="U93" s="303"/>
      <c r="V93" s="298"/>
      <c r="W93" s="312"/>
      <c r="X93" s="315"/>
      <c r="Y93" s="315"/>
      <c r="Z93" s="315"/>
      <c r="AA93" s="315"/>
      <c r="AB93" s="315"/>
      <c r="AC93" s="315"/>
      <c r="AD93" s="315"/>
      <c r="AE93" s="315"/>
      <c r="AF93" s="315"/>
      <c r="AG93" s="320"/>
      <c r="AH93" s="232"/>
      <c r="AI93" s="5"/>
      <c r="AJ93" s="5"/>
    </row>
    <row r="94" spans="1:36" s="14" customFormat="1" outlineLevel="1">
      <c r="A94" s="244" t="s">
        <v>560</v>
      </c>
      <c r="B94" s="245"/>
      <c r="C94" s="245"/>
      <c r="D94" s="245"/>
      <c r="E94" s="245"/>
      <c r="F94" s="244"/>
      <c r="G94" s="328"/>
      <c r="H94" s="246"/>
      <c r="I94" s="329"/>
      <c r="J94" s="324"/>
      <c r="K94" s="246">
        <f>'Essbase Download'!C56</f>
        <v>11897345.277294638</v>
      </c>
      <c r="L94" s="232"/>
      <c r="M94" s="289"/>
      <c r="N94" s="302"/>
      <c r="O94" s="303"/>
      <c r="P94" s="303"/>
      <c r="Q94" s="303"/>
      <c r="R94" s="303"/>
      <c r="S94" s="303"/>
      <c r="T94" s="303"/>
      <c r="U94" s="303"/>
      <c r="V94" s="298"/>
      <c r="W94" s="312"/>
      <c r="X94" s="315"/>
      <c r="Y94" s="315"/>
      <c r="Z94" s="315"/>
      <c r="AA94" s="315"/>
      <c r="AB94" s="315"/>
      <c r="AC94" s="315"/>
      <c r="AD94" s="315"/>
      <c r="AE94" s="315"/>
      <c r="AF94" s="315"/>
      <c r="AG94" s="320"/>
      <c r="AH94" s="232"/>
      <c r="AI94" s="5"/>
      <c r="AJ94" s="5"/>
    </row>
    <row r="95" spans="1:36" s="14" customFormat="1" outlineLevel="1">
      <c r="A95" s="245" t="s">
        <v>561</v>
      </c>
      <c r="B95" s="245"/>
      <c r="C95" s="245"/>
      <c r="D95" s="245"/>
      <c r="E95" s="245"/>
      <c r="F95" s="245"/>
      <c r="G95" s="328"/>
      <c r="H95" s="246"/>
      <c r="I95" s="329"/>
      <c r="J95" s="324"/>
      <c r="K95" s="246">
        <f>'Essbase Download'!C112</f>
        <v>3213481.6113227555</v>
      </c>
      <c r="L95" s="232"/>
      <c r="M95" s="289"/>
      <c r="N95" s="302"/>
      <c r="O95" s="306"/>
      <c r="P95" s="307"/>
      <c r="Q95" s="306"/>
      <c r="R95" s="306"/>
      <c r="S95" s="306"/>
      <c r="T95" s="306"/>
      <c r="U95" s="306"/>
      <c r="V95" s="298"/>
      <c r="W95" s="312"/>
      <c r="X95" s="315"/>
      <c r="Y95" s="316"/>
      <c r="Z95" s="317"/>
      <c r="AA95" s="316"/>
      <c r="AB95" s="316"/>
      <c r="AC95" s="316"/>
      <c r="AD95" s="316"/>
      <c r="AE95" s="316"/>
      <c r="AF95" s="315"/>
      <c r="AG95" s="320"/>
      <c r="AH95" s="232"/>
    </row>
    <row r="96" spans="1:36" s="14" customFormat="1" outlineLevel="1">
      <c r="A96" s="245"/>
      <c r="B96" s="245"/>
      <c r="C96" s="245"/>
      <c r="D96" s="245"/>
      <c r="E96" s="245"/>
      <c r="F96" s="245"/>
      <c r="G96" s="328"/>
      <c r="H96" s="246"/>
      <c r="I96" s="329"/>
      <c r="J96" s="324"/>
      <c r="K96" s="247">
        <f>SUM(K94:K95)</f>
        <v>15110826.888617393</v>
      </c>
      <c r="L96" s="232"/>
      <c r="M96" s="289"/>
      <c r="N96" s="302"/>
      <c r="O96" s="306"/>
      <c r="P96" s="307"/>
      <c r="Q96" s="306"/>
      <c r="R96" s="306"/>
      <c r="S96" s="306"/>
      <c r="T96" s="306"/>
      <c r="U96" s="306"/>
      <c r="V96" s="298"/>
      <c r="W96" s="312"/>
      <c r="X96" s="315"/>
      <c r="Y96" s="316"/>
      <c r="Z96" s="317"/>
      <c r="AA96" s="316"/>
      <c r="AB96" s="316"/>
      <c r="AC96" s="316"/>
      <c r="AD96" s="316"/>
      <c r="AE96" s="316"/>
      <c r="AF96" s="315"/>
      <c r="AG96" s="320"/>
      <c r="AH96" s="232"/>
    </row>
    <row r="97" spans="1:36" s="14" customFormat="1">
      <c r="G97" s="234"/>
      <c r="H97" s="232"/>
      <c r="I97" s="326"/>
      <c r="J97" s="324"/>
      <c r="K97" s="232"/>
      <c r="L97" s="232"/>
      <c r="M97" s="289"/>
      <c r="N97" s="302"/>
      <c r="O97" s="306"/>
      <c r="P97" s="307"/>
      <c r="Q97" s="306"/>
      <c r="R97" s="306"/>
      <c r="S97" s="306"/>
      <c r="T97" s="306"/>
      <c r="U97" s="306"/>
      <c r="V97" s="298"/>
      <c r="W97" s="312"/>
      <c r="X97" s="315"/>
      <c r="Y97" s="316"/>
      <c r="Z97" s="317"/>
      <c r="AA97" s="316"/>
      <c r="AB97" s="316"/>
      <c r="AC97" s="316"/>
      <c r="AD97" s="316"/>
      <c r="AE97" s="316"/>
      <c r="AF97" s="315"/>
      <c r="AG97" s="320"/>
      <c r="AH97" s="232"/>
    </row>
    <row r="98" spans="1:36" s="14" customFormat="1">
      <c r="A98" s="14" t="s">
        <v>566</v>
      </c>
      <c r="C98" s="14" t="s">
        <v>732</v>
      </c>
      <c r="G98" s="234"/>
      <c r="H98" s="232"/>
      <c r="I98" s="326"/>
      <c r="J98" s="324"/>
      <c r="K98" s="773"/>
      <c r="L98" s="773">
        <f>$K$106*K98/$K$100</f>
        <v>0</v>
      </c>
      <c r="M98" s="775">
        <f>SUM(K98:L98)</f>
        <v>0</v>
      </c>
      <c r="N98" s="302">
        <v>1</v>
      </c>
      <c r="O98" s="303">
        <v>0</v>
      </c>
      <c r="P98" s="303">
        <v>0</v>
      </c>
      <c r="Q98" s="303">
        <v>0</v>
      </c>
      <c r="R98" s="303">
        <v>0</v>
      </c>
      <c r="S98" s="303">
        <v>0</v>
      </c>
      <c r="T98" s="303">
        <v>0</v>
      </c>
      <c r="U98" s="303">
        <v>0</v>
      </c>
      <c r="V98" s="298" t="str">
        <f t="shared" si="42"/>
        <v>ok</v>
      </c>
      <c r="W98" s="312" t="s">
        <v>713</v>
      </c>
      <c r="X98" s="778">
        <f>IF($W98="No",$M98*N98,$M98*N98*(1-'Policy Allocations'!G$7))</f>
        <v>0</v>
      </c>
      <c r="Y98" s="778">
        <f>IF($W98="No",$M98*O98,$M98*O98*(1-'Policy Allocations'!G$8))</f>
        <v>0</v>
      </c>
      <c r="Z98" s="778">
        <f>IF($W98="No",$M98*P98,$M98*P98*(1-'Policy Allocations'!G$9))</f>
        <v>0</v>
      </c>
      <c r="AA98" s="778">
        <f>IF($W98="No",$M98*Q98,$M98*Q98*(1-'Policy Allocations'!G$10))</f>
        <v>0</v>
      </c>
      <c r="AB98" s="778">
        <f>IF($W98="No",$M98*R98,$M98*R98*(1-'Policy Allocations'!G$11))</f>
        <v>0</v>
      </c>
      <c r="AC98" s="778">
        <f>IF($W98="No",$M98*S98,$M98*S98*(1-'Policy Allocations'!G$12))</f>
        <v>0</v>
      </c>
      <c r="AD98" s="778">
        <f>IF($W98="No",$M98*T98,$M98*T98*(1-'Policy Allocations'!G$13))</f>
        <v>0</v>
      </c>
      <c r="AE98" s="778">
        <f>IF($W98="No",$M98*U98,$M98*U98*(1-'Policy Allocations'!G$14))</f>
        <v>0</v>
      </c>
      <c r="AF98" s="778">
        <f>M98-SUM(X98:AE98)</f>
        <v>0</v>
      </c>
      <c r="AG98" s="777">
        <f>SUM(X98:AF98)</f>
        <v>0</v>
      </c>
      <c r="AH98" s="232"/>
      <c r="AI98" s="5"/>
      <c r="AJ98" s="5"/>
    </row>
    <row r="99" spans="1:36" s="14" customFormat="1">
      <c r="A99" s="14" t="s">
        <v>567</v>
      </c>
      <c r="C99" s="14" t="s">
        <v>733</v>
      </c>
      <c r="G99" s="234"/>
      <c r="H99" s="232"/>
      <c r="I99" s="326"/>
      <c r="J99" s="324"/>
      <c r="K99" s="773"/>
      <c r="L99" s="773">
        <f>$K$106*K99/$K$100</f>
        <v>0</v>
      </c>
      <c r="M99" s="775">
        <f>SUM(K99:L99)</f>
        <v>0</v>
      </c>
      <c r="N99" s="302">
        <v>1</v>
      </c>
      <c r="O99" s="303">
        <v>0</v>
      </c>
      <c r="P99" s="303">
        <v>0</v>
      </c>
      <c r="Q99" s="303">
        <v>0</v>
      </c>
      <c r="R99" s="303">
        <v>0</v>
      </c>
      <c r="S99" s="303">
        <v>0</v>
      </c>
      <c r="T99" s="303">
        <v>0</v>
      </c>
      <c r="U99" s="303">
        <v>0</v>
      </c>
      <c r="V99" s="298" t="str">
        <f t="shared" si="42"/>
        <v>ok</v>
      </c>
      <c r="W99" s="312" t="s">
        <v>713</v>
      </c>
      <c r="X99" s="778">
        <f>IF($W99="No",$M99*N99,$M99*N99*(1-'Policy Allocations'!G$7))</f>
        <v>0</v>
      </c>
      <c r="Y99" s="778">
        <f>IF($W99="No",$M99*O99,$M99*O99*(1-'Policy Allocations'!G$8))</f>
        <v>0</v>
      </c>
      <c r="Z99" s="778">
        <f>IF($W99="No",$M99*P99,$M99*P99*(1-'Policy Allocations'!G$9))</f>
        <v>0</v>
      </c>
      <c r="AA99" s="778">
        <f>IF($W99="No",$M99*Q99,$M99*Q99*(1-'Policy Allocations'!G$10))</f>
        <v>0</v>
      </c>
      <c r="AB99" s="778">
        <f>IF($W99="No",$M99*R99,$M99*R99*(1-'Policy Allocations'!G$11))</f>
        <v>0</v>
      </c>
      <c r="AC99" s="778">
        <f>IF($W99="No",$M99*S99,$M99*S99*(1-'Policy Allocations'!G$12))</f>
        <v>0</v>
      </c>
      <c r="AD99" s="778">
        <f>IF($W99="No",$M99*T99,$M99*T99*(1-'Policy Allocations'!G$13))</f>
        <v>0</v>
      </c>
      <c r="AE99" s="778">
        <f>IF($W99="No",$M99*U99,$M99*U99*(1-'Policy Allocations'!G$14))</f>
        <v>0</v>
      </c>
      <c r="AF99" s="778">
        <f>M99-SUM(X99:AE99)</f>
        <v>0</v>
      </c>
      <c r="AG99" s="777">
        <f>SUM(X99:AF99)</f>
        <v>0</v>
      </c>
      <c r="AH99" s="232"/>
    </row>
    <row r="100" spans="1:36" s="14" customFormat="1">
      <c r="A100" s="15" t="s">
        <v>777</v>
      </c>
      <c r="G100" s="327"/>
      <c r="H100" s="233"/>
      <c r="I100" s="286"/>
      <c r="J100" s="324"/>
      <c r="K100" s="233">
        <f>SUM(K98:K99)+K91</f>
        <v>307008</v>
      </c>
      <c r="L100" s="233">
        <f>SUM(L98:L99)+L91</f>
        <v>753886.93240661733</v>
      </c>
      <c r="M100" s="273">
        <f>SUM(M98:M99)+M91</f>
        <v>1060894.9324066171</v>
      </c>
      <c r="N100" s="304"/>
      <c r="O100" s="305"/>
      <c r="P100" s="305"/>
      <c r="Q100" s="305"/>
      <c r="R100" s="305"/>
      <c r="S100" s="305"/>
      <c r="T100" s="305"/>
      <c r="U100" s="305"/>
      <c r="V100" s="298"/>
      <c r="W100" s="312"/>
      <c r="X100" s="233">
        <f t="shared" ref="X100:AG100" si="44">SUM(X98:X99)+X91</f>
        <v>147291.22888947406</v>
      </c>
      <c r="Y100" s="233">
        <f t="shared" si="44"/>
        <v>306524.98985106766</v>
      </c>
      <c r="Z100" s="233">
        <f t="shared" si="44"/>
        <v>404055.66844004369</v>
      </c>
      <c r="AA100" s="233">
        <f t="shared" si="44"/>
        <v>161224.1829736135</v>
      </c>
      <c r="AB100" s="233">
        <f t="shared" si="44"/>
        <v>41798.862252418316</v>
      </c>
      <c r="AC100" s="233">
        <f t="shared" si="44"/>
        <v>0</v>
      </c>
      <c r="AD100" s="233">
        <f t="shared" si="44"/>
        <v>0</v>
      </c>
      <c r="AE100" s="233">
        <f t="shared" si="44"/>
        <v>0</v>
      </c>
      <c r="AF100" s="233">
        <f t="shared" si="44"/>
        <v>0</v>
      </c>
      <c r="AG100" s="273">
        <f t="shared" si="44"/>
        <v>1060894.9324066171</v>
      </c>
      <c r="AH100" s="232"/>
    </row>
    <row r="101" spans="1:36" s="14" customFormat="1">
      <c r="G101" s="234"/>
      <c r="H101" s="232"/>
      <c r="I101" s="326"/>
      <c r="J101" s="324"/>
      <c r="K101" s="232"/>
      <c r="L101" s="232"/>
      <c r="M101" s="289"/>
      <c r="N101" s="302"/>
      <c r="O101" s="306"/>
      <c r="P101" s="307"/>
      <c r="Q101" s="306"/>
      <c r="R101" s="306"/>
      <c r="S101" s="306"/>
      <c r="T101" s="306"/>
      <c r="U101" s="306"/>
      <c r="V101" s="298"/>
      <c r="W101" s="313"/>
      <c r="X101" s="315"/>
      <c r="Y101" s="316"/>
      <c r="Z101" s="317"/>
      <c r="AA101" s="316"/>
      <c r="AB101" s="316"/>
      <c r="AC101" s="316"/>
      <c r="AD101" s="316"/>
      <c r="AE101" s="316"/>
      <c r="AF101" s="316"/>
      <c r="AG101" s="321"/>
      <c r="AH101" s="241"/>
    </row>
    <row r="102" spans="1:36" s="14" customFormat="1">
      <c r="A102" s="14" t="s">
        <v>835</v>
      </c>
      <c r="G102" s="330"/>
      <c r="H102" s="232"/>
      <c r="I102" s="326"/>
      <c r="J102" s="324"/>
      <c r="K102" s="232">
        <f>'Essbase Download'!C148</f>
        <v>787486.93453061557</v>
      </c>
      <c r="L102" s="232">
        <f>-K102</f>
        <v>-787486.93453061557</v>
      </c>
      <c r="M102" s="289">
        <f>SUM(K102:L102)</f>
        <v>0</v>
      </c>
      <c r="N102" s="302"/>
      <c r="O102" s="306"/>
      <c r="P102" s="307"/>
      <c r="Q102" s="306"/>
      <c r="R102" s="306"/>
      <c r="S102" s="306"/>
      <c r="T102" s="306"/>
      <c r="U102" s="306"/>
      <c r="V102" s="298"/>
      <c r="W102" s="313"/>
      <c r="X102" s="315"/>
      <c r="Y102" s="316"/>
      <c r="Z102" s="317"/>
      <c r="AA102" s="316"/>
      <c r="AB102" s="316"/>
      <c r="AC102" s="316"/>
      <c r="AD102" s="316"/>
      <c r="AE102" s="316"/>
      <c r="AF102" s="316"/>
      <c r="AG102" s="321"/>
      <c r="AH102" s="241"/>
    </row>
    <row r="103" spans="1:36" s="14" customFormat="1">
      <c r="A103" s="14" t="s">
        <v>631</v>
      </c>
      <c r="G103" s="234"/>
      <c r="H103" s="232"/>
      <c r="I103" s="326"/>
      <c r="J103" s="324"/>
      <c r="K103" s="232">
        <f>'Essbase Download'!C61</f>
        <v>-33600</v>
      </c>
      <c r="L103" s="232">
        <f>-K103</f>
        <v>33600</v>
      </c>
      <c r="M103" s="289">
        <f>SUM(K103:L103)</f>
        <v>0</v>
      </c>
      <c r="N103" s="302"/>
      <c r="O103" s="306"/>
      <c r="P103" s="307"/>
      <c r="Q103" s="306"/>
      <c r="R103" s="306"/>
      <c r="S103" s="306"/>
      <c r="T103" s="306"/>
      <c r="U103" s="306"/>
      <c r="V103" s="298"/>
      <c r="W103" s="313"/>
      <c r="X103" s="315"/>
      <c r="Y103" s="316"/>
      <c r="Z103" s="317"/>
      <c r="AA103" s="316"/>
      <c r="AB103" s="316"/>
      <c r="AC103" s="316"/>
      <c r="AD103" s="316"/>
      <c r="AE103" s="316"/>
      <c r="AF103" s="316"/>
      <c r="AG103" s="321"/>
      <c r="AH103" s="241"/>
    </row>
    <row r="104" spans="1:36" s="14" customFormat="1">
      <c r="A104" s="14" t="s">
        <v>1006</v>
      </c>
      <c r="G104" s="234"/>
      <c r="H104" s="232"/>
      <c r="I104" s="326"/>
      <c r="J104" s="324"/>
      <c r="K104" s="232">
        <f>'Essbase Download'!C99</f>
        <v>-2.1239984035491943E-3</v>
      </c>
      <c r="L104" s="232">
        <f>-K104</f>
        <v>2.1239984035491943E-3</v>
      </c>
      <c r="M104" s="289">
        <f>SUM(K104:L104)</f>
        <v>0</v>
      </c>
      <c r="N104" s="302"/>
      <c r="O104" s="306"/>
      <c r="P104" s="307"/>
      <c r="Q104" s="306"/>
      <c r="R104" s="306"/>
      <c r="S104" s="306"/>
      <c r="T104" s="306"/>
      <c r="U104" s="306"/>
      <c r="V104" s="298"/>
      <c r="W104" s="313"/>
      <c r="X104" s="315"/>
      <c r="Y104" s="316"/>
      <c r="Z104" s="317"/>
      <c r="AA104" s="316"/>
      <c r="AB104" s="316"/>
      <c r="AC104" s="316"/>
      <c r="AD104" s="316"/>
      <c r="AE104" s="316"/>
      <c r="AF104" s="316"/>
      <c r="AG104" s="321"/>
      <c r="AH104" s="241"/>
    </row>
    <row r="105" spans="1:36" s="14" customFormat="1">
      <c r="A105" s="14" t="s">
        <v>778</v>
      </c>
      <c r="G105" s="234"/>
      <c r="H105" s="232"/>
      <c r="I105" s="326"/>
      <c r="J105" s="324"/>
      <c r="K105" s="232">
        <v>0</v>
      </c>
      <c r="L105" s="232">
        <f>-K105</f>
        <v>0</v>
      </c>
      <c r="M105" s="289">
        <f>SUM(K105:L105)</f>
        <v>0</v>
      </c>
      <c r="N105" s="302"/>
      <c r="O105" s="306"/>
      <c r="P105" s="307"/>
      <c r="Q105" s="306"/>
      <c r="R105" s="306"/>
      <c r="S105" s="306"/>
      <c r="T105" s="306"/>
      <c r="U105" s="306"/>
      <c r="V105" s="298"/>
      <c r="W105" s="313"/>
      <c r="X105" s="315"/>
      <c r="Y105" s="316"/>
      <c r="Z105" s="317"/>
      <c r="AA105" s="316"/>
      <c r="AB105" s="316"/>
      <c r="AC105" s="316"/>
      <c r="AD105" s="316"/>
      <c r="AE105" s="316"/>
      <c r="AF105" s="316"/>
      <c r="AG105" s="321"/>
      <c r="AH105" s="241"/>
    </row>
    <row r="106" spans="1:36" s="14" customFormat="1">
      <c r="A106" s="15" t="s">
        <v>569</v>
      </c>
      <c r="G106" s="327"/>
      <c r="H106" s="233"/>
      <c r="I106" s="286"/>
      <c r="J106" s="324"/>
      <c r="K106" s="233">
        <f>SUM(K102:K105)</f>
        <v>753886.93240661721</v>
      </c>
      <c r="L106" s="233">
        <f>SUM(L102:L105)</f>
        <v>-753886.93240661721</v>
      </c>
      <c r="M106" s="273">
        <f>SUM(K106:L106)</f>
        <v>0</v>
      </c>
      <c r="N106" s="304"/>
      <c r="O106" s="305"/>
      <c r="P106" s="305"/>
      <c r="Q106" s="305"/>
      <c r="R106" s="305"/>
      <c r="S106" s="305"/>
      <c r="T106" s="305"/>
      <c r="U106" s="305"/>
      <c r="V106" s="298"/>
      <c r="W106" s="312"/>
      <c r="X106" s="233">
        <f t="shared" ref="X106:AG106" si="45">SUM(X102:X105)</f>
        <v>0</v>
      </c>
      <c r="Y106" s="233">
        <f t="shared" si="45"/>
        <v>0</v>
      </c>
      <c r="Z106" s="233">
        <f t="shared" si="45"/>
        <v>0</v>
      </c>
      <c r="AA106" s="233">
        <f t="shared" si="45"/>
        <v>0</v>
      </c>
      <c r="AB106" s="233">
        <f t="shared" si="45"/>
        <v>0</v>
      </c>
      <c r="AC106" s="233">
        <f t="shared" si="45"/>
        <v>0</v>
      </c>
      <c r="AD106" s="233">
        <f t="shared" si="45"/>
        <v>0</v>
      </c>
      <c r="AE106" s="233">
        <f t="shared" si="45"/>
        <v>0</v>
      </c>
      <c r="AF106" s="233">
        <f t="shared" si="45"/>
        <v>0</v>
      </c>
      <c r="AG106" s="273">
        <f t="shared" si="45"/>
        <v>0</v>
      </c>
      <c r="AH106" s="241"/>
    </row>
    <row r="107" spans="1:36" s="15" customFormat="1" ht="13.5" thickBot="1">
      <c r="A107" s="249" t="s">
        <v>593</v>
      </c>
      <c r="B107" s="249"/>
      <c r="C107" s="249"/>
      <c r="D107" s="249"/>
      <c r="E107" s="249"/>
      <c r="F107" s="249"/>
      <c r="G107" s="331"/>
      <c r="H107" s="250"/>
      <c r="I107" s="319"/>
      <c r="J107" s="314"/>
      <c r="K107" s="250">
        <f>K100+K106</f>
        <v>1060894.9324066173</v>
      </c>
      <c r="L107" s="250">
        <f>L100+L106</f>
        <v>0</v>
      </c>
      <c r="M107" s="322">
        <f>M100+M106</f>
        <v>1060894.9324066171</v>
      </c>
      <c r="N107" s="299"/>
      <c r="O107" s="251"/>
      <c r="P107" s="251"/>
      <c r="Q107" s="251"/>
      <c r="R107" s="251"/>
      <c r="S107" s="251"/>
      <c r="T107" s="251"/>
      <c r="U107" s="251"/>
      <c r="V107" s="300"/>
      <c r="W107" s="314"/>
      <c r="X107" s="250">
        <f t="shared" ref="X107:AG107" si="46">X100+X106</f>
        <v>147291.22888947406</v>
      </c>
      <c r="Y107" s="250">
        <f t="shared" si="46"/>
        <v>306524.98985106766</v>
      </c>
      <c r="Z107" s="250">
        <f t="shared" si="46"/>
        <v>404055.66844004369</v>
      </c>
      <c r="AA107" s="250">
        <f t="shared" si="46"/>
        <v>161224.1829736135</v>
      </c>
      <c r="AB107" s="250">
        <f t="shared" si="46"/>
        <v>41798.862252418316</v>
      </c>
      <c r="AC107" s="250">
        <f t="shared" si="46"/>
        <v>0</v>
      </c>
      <c r="AD107" s="250">
        <f t="shared" si="46"/>
        <v>0</v>
      </c>
      <c r="AE107" s="250">
        <f t="shared" si="46"/>
        <v>0</v>
      </c>
      <c r="AF107" s="250">
        <f t="shared" si="46"/>
        <v>0</v>
      </c>
      <c r="AG107" s="322">
        <f t="shared" si="46"/>
        <v>1060894.9324066171</v>
      </c>
      <c r="AH107" s="242"/>
      <c r="AI107" s="14"/>
      <c r="AJ107" s="14"/>
    </row>
    <row r="108" spans="1:36">
      <c r="N108" s="176"/>
      <c r="O108" s="176"/>
      <c r="P108" s="176"/>
      <c r="Q108" s="176"/>
      <c r="R108" s="176"/>
      <c r="S108" s="176"/>
      <c r="T108" s="176"/>
      <c r="U108" s="176"/>
      <c r="V108" s="295"/>
      <c r="X108" s="176"/>
      <c r="Y108" s="176"/>
      <c r="Z108" s="176"/>
      <c r="AA108" s="176"/>
      <c r="AB108" s="176"/>
      <c r="AC108" s="176"/>
      <c r="AD108" s="176"/>
      <c r="AE108" s="176"/>
      <c r="AF108" s="176"/>
      <c r="AG108" s="323">
        <f>AG107-M107</f>
        <v>0</v>
      </c>
      <c r="AH108" s="177"/>
    </row>
    <row r="109" spans="1:36">
      <c r="G109" s="232"/>
      <c r="H109" s="232"/>
      <c r="I109" s="232"/>
      <c r="J109" s="232"/>
      <c r="K109" s="232"/>
      <c r="L109" s="232"/>
      <c r="M109" s="232"/>
    </row>
    <row r="111" spans="1:36">
      <c r="G111" s="271">
        <f>'Essbase Download'!D56</f>
        <v>24779635.994363833</v>
      </c>
      <c r="H111" s="271">
        <f>'Essbase Download'!D112</f>
        <v>6694753.3569224086</v>
      </c>
    </row>
    <row r="112" spans="1:36">
      <c r="G112" s="271">
        <f>G91-G111</f>
        <v>-24140035.994363833</v>
      </c>
      <c r="H112" s="271">
        <f>H91-H111</f>
        <v>-6694753.3569224086</v>
      </c>
    </row>
  </sheetData>
  <phoneticPr fontId="0" type="noConversion"/>
  <conditionalFormatting sqref="V21:V22 N5:V20 N23:V38 N40:V106">
    <cfRule type="cellIs" dxfId="8" priority="7" stopIfTrue="1" operator="between">
      <formula>0.001</formula>
      <formula>0.9999</formula>
    </cfRule>
    <cfRule type="cellIs" dxfId="7" priority="8" stopIfTrue="1" operator="equal">
      <formula>1</formula>
    </cfRule>
    <cfRule type="cellIs" dxfId="6" priority="9" stopIfTrue="1" operator="equal">
      <formula>0</formula>
    </cfRule>
  </conditionalFormatting>
  <conditionalFormatting sqref="N21:U22">
    <cfRule type="cellIs" dxfId="5" priority="4" stopIfTrue="1" operator="between">
      <formula>0.001</formula>
      <formula>0.9999</formula>
    </cfRule>
    <cfRule type="cellIs" dxfId="4" priority="5" stopIfTrue="1" operator="equal">
      <formula>1</formula>
    </cfRule>
    <cfRule type="cellIs" dxfId="3" priority="6" stopIfTrue="1" operator="equal">
      <formula>0</formula>
    </cfRule>
  </conditionalFormatting>
  <conditionalFormatting sqref="N39:V39">
    <cfRule type="cellIs" dxfId="2" priority="1" stopIfTrue="1" operator="between">
      <formula>0.001</formula>
      <formula>0.9999</formula>
    </cfRule>
    <cfRule type="cellIs" dxfId="1" priority="2" stopIfTrue="1" operator="equal">
      <formula>1</formula>
    </cfRule>
    <cfRule type="cellIs" dxfId="0" priority="3" stopIfTrue="1" operator="equal">
      <formula>0</formula>
    </cfRule>
  </conditionalFormatting>
  <pageMargins left="0.31" right="0.19685039370078741" top="0.23622047244094491" bottom="0.44" header="0.15748031496062992" footer="0.15748031496062992"/>
  <pageSetup paperSize="8" scale="63" fitToHeight="0" orientation="landscape" r:id="rId1"/>
  <headerFooter alignWithMargins="0">
    <oddFooter>&amp;L&amp;D &amp;T&amp;R&amp;F &amp;A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90"/>
  <sheetViews>
    <sheetView tabSelected="1" zoomScaleNormal="100" workbookViewId="0">
      <pane xSplit="5" ySplit="1" topLeftCell="F2" activePane="bottomRight" state="frozen"/>
      <selection activeCell="M12" sqref="M12"/>
      <selection pane="topRight" activeCell="M12" sqref="M12"/>
      <selection pane="bottomLeft" activeCell="M12" sqref="M12"/>
      <selection pane="bottomRight" activeCell="F25" sqref="F25"/>
    </sheetView>
  </sheetViews>
  <sheetFormatPr defaultColWidth="9.140625" defaultRowHeight="12"/>
  <cols>
    <col min="1" max="1" width="9.42578125" style="693" customWidth="1"/>
    <col min="2" max="3" width="7.85546875" style="695" customWidth="1"/>
    <col min="4" max="4" width="30.5703125" style="692" customWidth="1"/>
    <col min="5" max="5" width="17.28515625" style="694" customWidth="1"/>
    <col min="6" max="6" width="14.5703125" style="696" customWidth="1"/>
    <col min="7" max="7" width="11.140625" style="692" customWidth="1"/>
    <col min="8" max="8" width="9.42578125" style="693" customWidth="1"/>
    <col min="9" max="9" width="7.7109375" style="692" customWidth="1"/>
    <col min="10" max="10" width="12.85546875" style="691" customWidth="1"/>
    <col min="11" max="16384" width="9.140625" style="691"/>
  </cols>
  <sheetData>
    <row r="1" spans="1:10" s="697" customFormat="1" ht="48">
      <c r="A1" s="420" t="s">
        <v>81</v>
      </c>
      <c r="B1" s="698" t="s">
        <v>128</v>
      </c>
      <c r="C1" s="698" t="s">
        <v>76</v>
      </c>
      <c r="D1" s="418" t="s">
        <v>741</v>
      </c>
      <c r="E1" s="419" t="s">
        <v>693</v>
      </c>
      <c r="F1" s="699" t="s">
        <v>77</v>
      </c>
      <c r="G1" s="418" t="s">
        <v>740</v>
      </c>
      <c r="H1" s="420" t="s">
        <v>81</v>
      </c>
      <c r="I1" s="700" t="s">
        <v>78</v>
      </c>
      <c r="J1" s="734" t="s">
        <v>739</v>
      </c>
    </row>
    <row r="2" spans="1:10" s="703" customFormat="1" ht="12" customHeight="1">
      <c r="A2" s="154" t="s">
        <v>1005</v>
      </c>
      <c r="B2" s="206" t="s">
        <v>129</v>
      </c>
      <c r="C2" s="206" t="s">
        <v>79</v>
      </c>
      <c r="D2" s="153" t="s">
        <v>931</v>
      </c>
      <c r="E2" s="702" t="s">
        <v>82</v>
      </c>
      <c r="F2" s="207" t="s">
        <v>83</v>
      </c>
      <c r="G2" s="421" t="s">
        <v>80</v>
      </c>
      <c r="H2" s="154" t="s">
        <v>1005</v>
      </c>
      <c r="I2" s="152" t="s">
        <v>720</v>
      </c>
      <c r="J2" s="779"/>
    </row>
    <row r="3" spans="1:10" s="703" customFormat="1" ht="12" customHeight="1">
      <c r="A3" s="154" t="s">
        <v>933</v>
      </c>
      <c r="B3" s="206" t="s">
        <v>129</v>
      </c>
      <c r="C3" s="206" t="s">
        <v>79</v>
      </c>
      <c r="D3" s="153" t="s">
        <v>932</v>
      </c>
      <c r="E3" s="702" t="s">
        <v>82</v>
      </c>
      <c r="F3" s="207" t="s">
        <v>83</v>
      </c>
      <c r="G3" s="421" t="s">
        <v>80</v>
      </c>
      <c r="H3" s="154" t="s">
        <v>933</v>
      </c>
      <c r="I3" s="152" t="s">
        <v>751</v>
      </c>
      <c r="J3" s="779"/>
    </row>
    <row r="4" spans="1:10" s="703" customFormat="1" ht="12" customHeight="1">
      <c r="A4" s="154" t="s">
        <v>1004</v>
      </c>
      <c r="B4" s="206" t="s">
        <v>129</v>
      </c>
      <c r="C4" s="206" t="s">
        <v>79</v>
      </c>
      <c r="D4" s="153" t="s">
        <v>934</v>
      </c>
      <c r="E4" s="702" t="s">
        <v>82</v>
      </c>
      <c r="F4" s="207" t="s">
        <v>83</v>
      </c>
      <c r="G4" s="421" t="s">
        <v>80</v>
      </c>
      <c r="H4" s="154" t="s">
        <v>1004</v>
      </c>
      <c r="I4" s="152" t="s">
        <v>935</v>
      </c>
      <c r="J4" s="779"/>
    </row>
    <row r="5" spans="1:10" s="703" customFormat="1" ht="12" customHeight="1">
      <c r="A5" s="154" t="s">
        <v>937</v>
      </c>
      <c r="B5" s="206" t="s">
        <v>129</v>
      </c>
      <c r="C5" s="206" t="s">
        <v>79</v>
      </c>
      <c r="D5" s="153" t="s">
        <v>936</v>
      </c>
      <c r="E5" s="702" t="s">
        <v>82</v>
      </c>
      <c r="F5" s="207" t="s">
        <v>83</v>
      </c>
      <c r="G5" s="421" t="s">
        <v>80</v>
      </c>
      <c r="H5" s="154" t="s">
        <v>937</v>
      </c>
      <c r="I5" s="152" t="s">
        <v>938</v>
      </c>
      <c r="J5" s="779"/>
    </row>
    <row r="6" spans="1:10" s="703" customFormat="1" ht="12" customHeight="1">
      <c r="A6" s="154" t="s">
        <v>940</v>
      </c>
      <c r="B6" s="206" t="s">
        <v>129</v>
      </c>
      <c r="C6" s="206" t="s">
        <v>79</v>
      </c>
      <c r="D6" s="153" t="s">
        <v>939</v>
      </c>
      <c r="E6" s="702" t="s">
        <v>82</v>
      </c>
      <c r="F6" s="207" t="s">
        <v>83</v>
      </c>
      <c r="G6" s="421" t="s">
        <v>80</v>
      </c>
      <c r="H6" s="154" t="s">
        <v>940</v>
      </c>
      <c r="I6" s="152" t="s">
        <v>750</v>
      </c>
      <c r="J6" s="779"/>
    </row>
    <row r="7" spans="1:10" s="703" customFormat="1" ht="12" customHeight="1">
      <c r="A7" s="154" t="s">
        <v>942</v>
      </c>
      <c r="B7" s="206" t="s">
        <v>129</v>
      </c>
      <c r="C7" s="206" t="s">
        <v>79</v>
      </c>
      <c r="D7" s="153" t="s">
        <v>941</v>
      </c>
      <c r="E7" s="702" t="s">
        <v>82</v>
      </c>
      <c r="F7" s="207" t="s">
        <v>83</v>
      </c>
      <c r="G7" s="421" t="s">
        <v>80</v>
      </c>
      <c r="H7" s="154" t="s">
        <v>942</v>
      </c>
      <c r="I7" s="152" t="s">
        <v>943</v>
      </c>
      <c r="J7" s="779"/>
    </row>
    <row r="8" spans="1:10" s="703" customFormat="1" ht="12" customHeight="1">
      <c r="A8" s="154" t="s">
        <v>945</v>
      </c>
      <c r="B8" s="206" t="s">
        <v>129</v>
      </c>
      <c r="C8" s="206" t="s">
        <v>79</v>
      </c>
      <c r="D8" s="153" t="s">
        <v>944</v>
      </c>
      <c r="E8" s="702" t="s">
        <v>82</v>
      </c>
      <c r="F8" s="207" t="s">
        <v>83</v>
      </c>
      <c r="G8" s="421" t="s">
        <v>80</v>
      </c>
      <c r="H8" s="154" t="s">
        <v>945</v>
      </c>
      <c r="I8" s="152" t="s">
        <v>946</v>
      </c>
      <c r="J8" s="779"/>
    </row>
    <row r="9" spans="1:10" s="703" customFormat="1" ht="12" customHeight="1">
      <c r="A9" s="154" t="s">
        <v>948</v>
      </c>
      <c r="B9" s="206" t="s">
        <v>129</v>
      </c>
      <c r="C9" s="206" t="s">
        <v>79</v>
      </c>
      <c r="D9" s="153" t="s">
        <v>947</v>
      </c>
      <c r="E9" s="702" t="s">
        <v>82</v>
      </c>
      <c r="F9" s="207" t="s">
        <v>83</v>
      </c>
      <c r="G9" s="421" t="s">
        <v>80</v>
      </c>
      <c r="H9" s="154" t="s">
        <v>948</v>
      </c>
      <c r="I9" s="152" t="s">
        <v>717</v>
      </c>
      <c r="J9" s="779"/>
    </row>
    <row r="10" spans="1:10" s="703" customFormat="1" ht="12" customHeight="1">
      <c r="A10" s="154" t="s">
        <v>950</v>
      </c>
      <c r="B10" s="206" t="s">
        <v>129</v>
      </c>
      <c r="C10" s="206" t="s">
        <v>79</v>
      </c>
      <c r="D10" s="153" t="s">
        <v>949</v>
      </c>
      <c r="E10" s="702" t="s">
        <v>82</v>
      </c>
      <c r="F10" s="207" t="s">
        <v>83</v>
      </c>
      <c r="G10" s="421" t="s">
        <v>80</v>
      </c>
      <c r="H10" s="154" t="s">
        <v>950</v>
      </c>
      <c r="I10" s="152" t="s">
        <v>951</v>
      </c>
      <c r="J10" s="779"/>
    </row>
    <row r="11" spans="1:10" s="703" customFormat="1" ht="12" customHeight="1">
      <c r="A11" s="154" t="s">
        <v>953</v>
      </c>
      <c r="B11" s="206" t="s">
        <v>129</v>
      </c>
      <c r="C11" s="206" t="s">
        <v>79</v>
      </c>
      <c r="D11" s="153" t="s">
        <v>952</v>
      </c>
      <c r="E11" s="702" t="s">
        <v>82</v>
      </c>
      <c r="F11" s="207" t="s">
        <v>83</v>
      </c>
      <c r="G11" s="421" t="s">
        <v>80</v>
      </c>
      <c r="H11" s="154" t="s">
        <v>953</v>
      </c>
      <c r="I11" s="152" t="s">
        <v>954</v>
      </c>
      <c r="J11" s="779"/>
    </row>
    <row r="12" spans="1:10" s="703" customFormat="1" ht="12" customHeight="1">
      <c r="A12" s="154" t="s">
        <v>956</v>
      </c>
      <c r="B12" s="206" t="s">
        <v>129</v>
      </c>
      <c r="C12" s="206" t="s">
        <v>79</v>
      </c>
      <c r="D12" s="153" t="s">
        <v>955</v>
      </c>
      <c r="E12" s="702" t="s">
        <v>82</v>
      </c>
      <c r="F12" s="207" t="s">
        <v>83</v>
      </c>
      <c r="G12" s="421" t="s">
        <v>80</v>
      </c>
      <c r="H12" s="154" t="s">
        <v>956</v>
      </c>
      <c r="I12" s="152" t="s">
        <v>473</v>
      </c>
      <c r="J12" s="779"/>
    </row>
    <row r="13" spans="1:10" s="703" customFormat="1" ht="12" customHeight="1">
      <c r="A13" s="154" t="s">
        <v>958</v>
      </c>
      <c r="B13" s="206" t="s">
        <v>129</v>
      </c>
      <c r="C13" s="206" t="s">
        <v>79</v>
      </c>
      <c r="D13" s="153" t="s">
        <v>300</v>
      </c>
      <c r="E13" s="702" t="s">
        <v>82</v>
      </c>
      <c r="F13" s="207" t="s">
        <v>83</v>
      </c>
      <c r="G13" s="421" t="s">
        <v>80</v>
      </c>
      <c r="H13" s="154" t="s">
        <v>958</v>
      </c>
      <c r="I13" s="152" t="s">
        <v>718</v>
      </c>
      <c r="J13" s="779"/>
    </row>
    <row r="14" spans="1:10" s="703" customFormat="1" ht="12" customHeight="1">
      <c r="A14" s="154" t="s">
        <v>960</v>
      </c>
      <c r="B14" s="206" t="s">
        <v>129</v>
      </c>
      <c r="C14" s="206" t="s">
        <v>79</v>
      </c>
      <c r="D14" s="153" t="s">
        <v>959</v>
      </c>
      <c r="E14" s="702" t="s">
        <v>82</v>
      </c>
      <c r="F14" s="207" t="s">
        <v>83</v>
      </c>
      <c r="G14" s="421" t="s">
        <v>80</v>
      </c>
      <c r="H14" s="154" t="s">
        <v>960</v>
      </c>
      <c r="I14" s="152" t="s">
        <v>719</v>
      </c>
      <c r="J14" s="779"/>
    </row>
    <row r="15" spans="1:10" s="703" customFormat="1" ht="12" customHeight="1">
      <c r="A15" s="154" t="s">
        <v>962</v>
      </c>
      <c r="B15" s="206" t="s">
        <v>129</v>
      </c>
      <c r="C15" s="206" t="s">
        <v>79</v>
      </c>
      <c r="D15" s="153" t="s">
        <v>961</v>
      </c>
      <c r="E15" s="702" t="s">
        <v>82</v>
      </c>
      <c r="F15" s="207" t="s">
        <v>84</v>
      </c>
      <c r="G15" s="421" t="s">
        <v>80</v>
      </c>
      <c r="H15" s="154" t="s">
        <v>962</v>
      </c>
      <c r="I15" s="152" t="s">
        <v>753</v>
      </c>
      <c r="J15" s="779"/>
    </row>
    <row r="16" spans="1:10" s="703" customFormat="1" ht="12" customHeight="1">
      <c r="A16" s="154" t="s">
        <v>130</v>
      </c>
      <c r="B16" s="206" t="s">
        <v>129</v>
      </c>
      <c r="C16" s="206" t="s">
        <v>79</v>
      </c>
      <c r="D16" s="153" t="s">
        <v>963</v>
      </c>
      <c r="E16" s="702" t="s">
        <v>82</v>
      </c>
      <c r="F16" s="207" t="s">
        <v>84</v>
      </c>
      <c r="G16" s="421" t="s">
        <v>80</v>
      </c>
      <c r="H16" s="154" t="s">
        <v>130</v>
      </c>
      <c r="I16" s="152" t="s">
        <v>754</v>
      </c>
      <c r="J16" s="779"/>
    </row>
    <row r="17" spans="1:10" s="703" customFormat="1" ht="12" customHeight="1">
      <c r="A17" s="154" t="s">
        <v>131</v>
      </c>
      <c r="B17" s="206" t="s">
        <v>129</v>
      </c>
      <c r="C17" s="206" t="s">
        <v>79</v>
      </c>
      <c r="D17" s="153" t="s">
        <v>964</v>
      </c>
      <c r="E17" s="702" t="s">
        <v>82</v>
      </c>
      <c r="F17" s="207" t="s">
        <v>84</v>
      </c>
      <c r="G17" s="421" t="s">
        <v>80</v>
      </c>
      <c r="H17" s="154" t="s">
        <v>131</v>
      </c>
      <c r="I17" s="152" t="s">
        <v>755</v>
      </c>
      <c r="J17" s="779"/>
    </row>
    <row r="18" spans="1:10" s="703" customFormat="1" ht="12" customHeight="1">
      <c r="A18" s="154" t="s">
        <v>132</v>
      </c>
      <c r="B18" s="206" t="s">
        <v>129</v>
      </c>
      <c r="C18" s="206" t="s">
        <v>79</v>
      </c>
      <c r="D18" s="153" t="s">
        <v>965</v>
      </c>
      <c r="E18" s="702" t="s">
        <v>82</v>
      </c>
      <c r="F18" s="207" t="s">
        <v>84</v>
      </c>
      <c r="G18" s="421" t="s">
        <v>80</v>
      </c>
      <c r="H18" s="154" t="s">
        <v>132</v>
      </c>
      <c r="I18" s="152" t="s">
        <v>756</v>
      </c>
      <c r="J18" s="779"/>
    </row>
    <row r="19" spans="1:10" s="703" customFormat="1" ht="12" customHeight="1">
      <c r="A19" s="154" t="s">
        <v>133</v>
      </c>
      <c r="B19" s="206" t="s">
        <v>129</v>
      </c>
      <c r="C19" s="206" t="s">
        <v>79</v>
      </c>
      <c r="D19" s="153" t="s">
        <v>966</v>
      </c>
      <c r="E19" s="702" t="s">
        <v>82</v>
      </c>
      <c r="F19" s="207" t="s">
        <v>84</v>
      </c>
      <c r="G19" s="421" t="s">
        <v>80</v>
      </c>
      <c r="H19" s="154" t="s">
        <v>133</v>
      </c>
      <c r="I19" s="152" t="s">
        <v>758</v>
      </c>
      <c r="J19" s="779"/>
    </row>
    <row r="20" spans="1:10" s="703" customFormat="1" ht="12" customHeight="1">
      <c r="A20" s="154" t="s">
        <v>85</v>
      </c>
      <c r="B20" s="206"/>
      <c r="C20" s="206" t="s">
        <v>79</v>
      </c>
      <c r="D20" s="153" t="s">
        <v>86</v>
      </c>
      <c r="E20" s="702" t="s">
        <v>82</v>
      </c>
      <c r="F20" s="207" t="s">
        <v>87</v>
      </c>
      <c r="G20" s="421" t="s">
        <v>80</v>
      </c>
      <c r="H20" s="154" t="s">
        <v>85</v>
      </c>
      <c r="I20" s="152"/>
      <c r="J20" s="779"/>
    </row>
    <row r="21" spans="1:10" s="701" customFormat="1" ht="12" customHeight="1">
      <c r="A21" s="157" t="s">
        <v>977</v>
      </c>
      <c r="B21" s="208" t="s">
        <v>129</v>
      </c>
      <c r="C21" s="208" t="s">
        <v>79</v>
      </c>
      <c r="D21" s="156" t="s">
        <v>301</v>
      </c>
      <c r="E21" s="704" t="s">
        <v>88</v>
      </c>
      <c r="F21" s="209" t="s">
        <v>83</v>
      </c>
      <c r="G21" s="423" t="s">
        <v>179</v>
      </c>
      <c r="H21" s="157" t="s">
        <v>977</v>
      </c>
      <c r="I21" s="155" t="s">
        <v>474</v>
      </c>
      <c r="J21" s="779"/>
    </row>
    <row r="22" spans="1:10" s="701" customFormat="1" ht="12" customHeight="1">
      <c r="A22" s="157" t="s">
        <v>634</v>
      </c>
      <c r="B22" s="208" t="s">
        <v>129</v>
      </c>
      <c r="C22" s="208" t="s">
        <v>79</v>
      </c>
      <c r="D22" s="156" t="s">
        <v>302</v>
      </c>
      <c r="E22" s="704" t="s">
        <v>88</v>
      </c>
      <c r="F22" s="209" t="s">
        <v>83</v>
      </c>
      <c r="G22" s="423" t="s">
        <v>179</v>
      </c>
      <c r="H22" s="157" t="s">
        <v>634</v>
      </c>
      <c r="I22" s="155" t="s">
        <v>707</v>
      </c>
      <c r="J22" s="779"/>
    </row>
    <row r="23" spans="1:10" s="701" customFormat="1" ht="12" customHeight="1">
      <c r="A23" s="157" t="s">
        <v>981</v>
      </c>
      <c r="B23" s="208" t="s">
        <v>129</v>
      </c>
      <c r="C23" s="208" t="s">
        <v>79</v>
      </c>
      <c r="D23" s="156" t="s">
        <v>303</v>
      </c>
      <c r="E23" s="704" t="s">
        <v>88</v>
      </c>
      <c r="F23" s="209" t="s">
        <v>83</v>
      </c>
      <c r="G23" s="423" t="s">
        <v>179</v>
      </c>
      <c r="H23" s="157" t="s">
        <v>981</v>
      </c>
      <c r="I23" s="155" t="s">
        <v>708</v>
      </c>
      <c r="J23" s="779"/>
    </row>
    <row r="24" spans="1:10" s="701" customFormat="1" ht="12" customHeight="1">
      <c r="A24" s="157" t="s">
        <v>635</v>
      </c>
      <c r="B24" s="208" t="s">
        <v>129</v>
      </c>
      <c r="C24" s="208" t="s">
        <v>79</v>
      </c>
      <c r="D24" s="156" t="s">
        <v>304</v>
      </c>
      <c r="E24" s="704" t="s">
        <v>88</v>
      </c>
      <c r="F24" s="209" t="s">
        <v>83</v>
      </c>
      <c r="G24" s="423" t="s">
        <v>179</v>
      </c>
      <c r="H24" s="157" t="s">
        <v>635</v>
      </c>
      <c r="I24" s="155" t="s">
        <v>709</v>
      </c>
      <c r="J24" s="779"/>
    </row>
    <row r="25" spans="1:10" s="701" customFormat="1" ht="12" customHeight="1">
      <c r="A25" s="157" t="s">
        <v>636</v>
      </c>
      <c r="B25" s="208" t="s">
        <v>129</v>
      </c>
      <c r="C25" s="208" t="s">
        <v>79</v>
      </c>
      <c r="D25" s="156" t="s">
        <v>305</v>
      </c>
      <c r="E25" s="704" t="s">
        <v>88</v>
      </c>
      <c r="F25" s="209" t="s">
        <v>83</v>
      </c>
      <c r="G25" s="423" t="s">
        <v>179</v>
      </c>
      <c r="H25" s="157" t="s">
        <v>636</v>
      </c>
      <c r="I25" s="155" t="s">
        <v>705</v>
      </c>
      <c r="J25" s="779"/>
    </row>
    <row r="26" spans="1:10" s="701" customFormat="1" ht="12" customHeight="1">
      <c r="A26" s="157" t="s">
        <v>1147</v>
      </c>
      <c r="B26" s="705" t="s">
        <v>978</v>
      </c>
      <c r="C26" s="208" t="s">
        <v>79</v>
      </c>
      <c r="D26" s="156" t="s">
        <v>1146</v>
      </c>
      <c r="E26" s="704" t="s">
        <v>88</v>
      </c>
      <c r="F26" s="209" t="s">
        <v>83</v>
      </c>
      <c r="G26" s="423" t="s">
        <v>179</v>
      </c>
      <c r="H26" s="157" t="s">
        <v>1147</v>
      </c>
      <c r="I26" s="155" t="s">
        <v>1148</v>
      </c>
      <c r="J26" s="779"/>
    </row>
    <row r="27" spans="1:10" s="701" customFormat="1" ht="12" customHeight="1">
      <c r="A27" s="157" t="s">
        <v>1150</v>
      </c>
      <c r="B27" s="705" t="s">
        <v>978</v>
      </c>
      <c r="C27" s="208" t="s">
        <v>79</v>
      </c>
      <c r="D27" s="156" t="s">
        <v>1149</v>
      </c>
      <c r="E27" s="704" t="s">
        <v>88</v>
      </c>
      <c r="F27" s="209" t="s">
        <v>83</v>
      </c>
      <c r="G27" s="423" t="s">
        <v>179</v>
      </c>
      <c r="H27" s="157" t="s">
        <v>1150</v>
      </c>
      <c r="I27" s="155" t="s">
        <v>1151</v>
      </c>
      <c r="J27" s="779"/>
    </row>
    <row r="28" spans="1:10" s="701" customFormat="1" ht="12" customHeight="1">
      <c r="A28" s="157" t="s">
        <v>985</v>
      </c>
      <c r="B28" s="208" t="s">
        <v>129</v>
      </c>
      <c r="C28" s="208" t="s">
        <v>79</v>
      </c>
      <c r="D28" s="156" t="s">
        <v>306</v>
      </c>
      <c r="E28" s="704" t="s">
        <v>88</v>
      </c>
      <c r="F28" s="209" t="s">
        <v>83</v>
      </c>
      <c r="G28" s="423" t="s">
        <v>787</v>
      </c>
      <c r="H28" s="157" t="s">
        <v>985</v>
      </c>
      <c r="I28" s="155" t="s">
        <v>180</v>
      </c>
      <c r="J28" s="779"/>
    </row>
    <row r="29" spans="1:10" s="701" customFormat="1" ht="12" customHeight="1">
      <c r="A29" s="157" t="s">
        <v>637</v>
      </c>
      <c r="B29" s="208" t="s">
        <v>129</v>
      </c>
      <c r="C29" s="208" t="s">
        <v>79</v>
      </c>
      <c r="D29" s="156" t="s">
        <v>307</v>
      </c>
      <c r="E29" s="704" t="s">
        <v>88</v>
      </c>
      <c r="F29" s="209" t="s">
        <v>83</v>
      </c>
      <c r="G29" s="423" t="s">
        <v>787</v>
      </c>
      <c r="H29" s="157" t="s">
        <v>637</v>
      </c>
      <c r="I29" s="155" t="s">
        <v>134</v>
      </c>
      <c r="J29" s="779"/>
    </row>
    <row r="30" spans="1:10" s="701" customFormat="1" ht="12" customHeight="1">
      <c r="A30" s="157" t="s">
        <v>638</v>
      </c>
      <c r="B30" s="208" t="s">
        <v>129</v>
      </c>
      <c r="C30" s="208" t="s">
        <v>79</v>
      </c>
      <c r="D30" s="156" t="s">
        <v>308</v>
      </c>
      <c r="E30" s="704" t="s">
        <v>88</v>
      </c>
      <c r="F30" s="209" t="s">
        <v>83</v>
      </c>
      <c r="G30" s="423" t="s">
        <v>787</v>
      </c>
      <c r="H30" s="157" t="s">
        <v>638</v>
      </c>
      <c r="I30" s="155" t="s">
        <v>135</v>
      </c>
      <c r="J30" s="779"/>
    </row>
    <row r="31" spans="1:10" s="701" customFormat="1" ht="12" customHeight="1">
      <c r="A31" s="157" t="s">
        <v>989</v>
      </c>
      <c r="B31" s="208" t="s">
        <v>129</v>
      </c>
      <c r="C31" s="208" t="s">
        <v>79</v>
      </c>
      <c r="D31" s="156" t="s">
        <v>309</v>
      </c>
      <c r="E31" s="704" t="s">
        <v>88</v>
      </c>
      <c r="F31" s="209" t="s">
        <v>83</v>
      </c>
      <c r="G31" s="423" t="s">
        <v>787</v>
      </c>
      <c r="H31" s="157" t="s">
        <v>989</v>
      </c>
      <c r="I31" s="155" t="s">
        <v>183</v>
      </c>
      <c r="J31" s="779"/>
    </row>
    <row r="32" spans="1:10" s="701" customFormat="1" ht="12" customHeight="1">
      <c r="A32" s="157" t="s">
        <v>991</v>
      </c>
      <c r="B32" s="208" t="s">
        <v>129</v>
      </c>
      <c r="C32" s="208" t="s">
        <v>79</v>
      </c>
      <c r="D32" s="156" t="s">
        <v>310</v>
      </c>
      <c r="E32" s="704" t="s">
        <v>88</v>
      </c>
      <c r="F32" s="209" t="s">
        <v>84</v>
      </c>
      <c r="G32" s="423" t="s">
        <v>179</v>
      </c>
      <c r="H32" s="157" t="s">
        <v>991</v>
      </c>
      <c r="I32" s="155" t="s">
        <v>617</v>
      </c>
      <c r="J32" s="779"/>
    </row>
    <row r="33" spans="1:10" s="701" customFormat="1" ht="12" customHeight="1">
      <c r="A33" s="157" t="s">
        <v>993</v>
      </c>
      <c r="B33" s="208" t="s">
        <v>129</v>
      </c>
      <c r="C33" s="208" t="s">
        <v>79</v>
      </c>
      <c r="D33" s="156" t="s">
        <v>1124</v>
      </c>
      <c r="E33" s="704" t="s">
        <v>88</v>
      </c>
      <c r="F33" s="209" t="s">
        <v>84</v>
      </c>
      <c r="G33" s="423" t="s">
        <v>179</v>
      </c>
      <c r="H33" s="157" t="s">
        <v>993</v>
      </c>
      <c r="I33" s="155" t="s">
        <v>781</v>
      </c>
      <c r="J33" s="779"/>
    </row>
    <row r="34" spans="1:10" s="701" customFormat="1" ht="12" customHeight="1">
      <c r="A34" s="157" t="s">
        <v>641</v>
      </c>
      <c r="B34" s="208" t="s">
        <v>129</v>
      </c>
      <c r="C34" s="208" t="s">
        <v>79</v>
      </c>
      <c r="D34" s="156" t="s">
        <v>311</v>
      </c>
      <c r="E34" s="704" t="s">
        <v>88</v>
      </c>
      <c r="F34" s="209" t="s">
        <v>84</v>
      </c>
      <c r="G34" s="423" t="s">
        <v>184</v>
      </c>
      <c r="H34" s="157" t="s">
        <v>641</v>
      </c>
      <c r="I34" s="155" t="s">
        <v>715</v>
      </c>
      <c r="J34" s="779"/>
    </row>
    <row r="35" spans="1:10" s="701" customFormat="1" ht="12" customHeight="1">
      <c r="A35" s="157" t="s">
        <v>639</v>
      </c>
      <c r="B35" s="208" t="s">
        <v>129</v>
      </c>
      <c r="C35" s="208" t="s">
        <v>79</v>
      </c>
      <c r="D35" s="156" t="s">
        <v>312</v>
      </c>
      <c r="E35" s="704" t="s">
        <v>88</v>
      </c>
      <c r="F35" s="209" t="s">
        <v>83</v>
      </c>
      <c r="G35" s="423" t="s">
        <v>184</v>
      </c>
      <c r="H35" s="157" t="s">
        <v>639</v>
      </c>
      <c r="I35" s="155" t="s">
        <v>710</v>
      </c>
      <c r="J35" s="779"/>
    </row>
    <row r="36" spans="1:10" s="701" customFormat="1" ht="12" customHeight="1">
      <c r="A36" s="157" t="s">
        <v>640</v>
      </c>
      <c r="B36" s="208" t="s">
        <v>129</v>
      </c>
      <c r="C36" s="208" t="s">
        <v>79</v>
      </c>
      <c r="D36" s="156" t="s">
        <v>313</v>
      </c>
      <c r="E36" s="704" t="s">
        <v>88</v>
      </c>
      <c r="F36" s="209" t="s">
        <v>83</v>
      </c>
      <c r="G36" s="423" t="s">
        <v>184</v>
      </c>
      <c r="H36" s="157" t="s">
        <v>640</v>
      </c>
      <c r="I36" s="155" t="s">
        <v>711</v>
      </c>
      <c r="J36" s="779"/>
    </row>
    <row r="37" spans="1:10" s="701" customFormat="1" ht="12" customHeight="1">
      <c r="A37" s="157" t="s">
        <v>89</v>
      </c>
      <c r="B37" s="208"/>
      <c r="C37" s="208" t="s">
        <v>79</v>
      </c>
      <c r="D37" s="156" t="s">
        <v>136</v>
      </c>
      <c r="E37" s="704" t="s">
        <v>88</v>
      </c>
      <c r="F37" s="209" t="s">
        <v>556</v>
      </c>
      <c r="G37" s="423" t="s">
        <v>179</v>
      </c>
      <c r="H37" s="157" t="s">
        <v>89</v>
      </c>
      <c r="I37" s="155"/>
      <c r="J37" s="779"/>
    </row>
    <row r="38" spans="1:10" s="701" customFormat="1" ht="12" customHeight="1">
      <c r="A38" s="157" t="s">
        <v>150</v>
      </c>
      <c r="B38" s="208"/>
      <c r="C38" s="208" t="s">
        <v>79</v>
      </c>
      <c r="D38" s="156" t="s">
        <v>151</v>
      </c>
      <c r="E38" s="704" t="s">
        <v>88</v>
      </c>
      <c r="F38" s="209" t="s">
        <v>87</v>
      </c>
      <c r="G38" s="423" t="s">
        <v>712</v>
      </c>
      <c r="H38" s="157" t="s">
        <v>150</v>
      </c>
      <c r="I38" s="155"/>
      <c r="J38" s="735">
        <v>49200</v>
      </c>
    </row>
    <row r="39" spans="1:10" s="701" customFormat="1" ht="12" customHeight="1">
      <c r="A39" s="157" t="s">
        <v>152</v>
      </c>
      <c r="B39" s="208"/>
      <c r="C39" s="208" t="s">
        <v>79</v>
      </c>
      <c r="D39" s="156" t="s">
        <v>153</v>
      </c>
      <c r="E39" s="704" t="s">
        <v>88</v>
      </c>
      <c r="F39" s="209" t="s">
        <v>87</v>
      </c>
      <c r="G39" s="423" t="s">
        <v>179</v>
      </c>
      <c r="H39" s="157" t="s">
        <v>152</v>
      </c>
      <c r="I39" s="155"/>
      <c r="J39" s="735">
        <v>97200</v>
      </c>
    </row>
    <row r="40" spans="1:10" s="701" customFormat="1" ht="12" customHeight="1">
      <c r="A40" s="157" t="s">
        <v>154</v>
      </c>
      <c r="B40" s="208"/>
      <c r="C40" s="208" t="s">
        <v>79</v>
      </c>
      <c r="D40" s="156" t="s">
        <v>155</v>
      </c>
      <c r="E40" s="704" t="s">
        <v>88</v>
      </c>
      <c r="F40" s="209" t="s">
        <v>87</v>
      </c>
      <c r="G40" s="423" t="s">
        <v>787</v>
      </c>
      <c r="H40" s="157" t="s">
        <v>154</v>
      </c>
      <c r="I40" s="155"/>
      <c r="J40" s="735">
        <v>85200</v>
      </c>
    </row>
    <row r="41" spans="1:10" s="701" customFormat="1" ht="12" customHeight="1">
      <c r="A41" s="157" t="s">
        <v>156</v>
      </c>
      <c r="B41" s="208"/>
      <c r="C41" s="208" t="s">
        <v>79</v>
      </c>
      <c r="D41" s="156" t="s">
        <v>157</v>
      </c>
      <c r="E41" s="704" t="s">
        <v>88</v>
      </c>
      <c r="F41" s="209" t="s">
        <v>87</v>
      </c>
      <c r="G41" s="423" t="s">
        <v>184</v>
      </c>
      <c r="H41" s="157" t="s">
        <v>156</v>
      </c>
      <c r="I41" s="155"/>
      <c r="J41" s="735">
        <v>38400</v>
      </c>
    </row>
    <row r="42" spans="1:10" s="703" customFormat="1" ht="12" customHeight="1">
      <c r="A42" s="210" t="s">
        <v>194</v>
      </c>
      <c r="B42" s="211" t="s">
        <v>129</v>
      </c>
      <c r="C42" s="211" t="s">
        <v>79</v>
      </c>
      <c r="D42" s="212" t="s">
        <v>759</v>
      </c>
      <c r="E42" s="706" t="s">
        <v>185</v>
      </c>
      <c r="F42" s="213" t="s">
        <v>83</v>
      </c>
      <c r="G42" s="424" t="s">
        <v>192</v>
      </c>
      <c r="H42" s="210" t="s">
        <v>194</v>
      </c>
      <c r="I42" s="230" t="s">
        <v>726</v>
      </c>
      <c r="J42" s="779"/>
    </row>
    <row r="43" spans="1:10" s="703" customFormat="1" ht="12" customHeight="1">
      <c r="A43" s="210" t="s">
        <v>195</v>
      </c>
      <c r="B43" s="211" t="s">
        <v>129</v>
      </c>
      <c r="C43" s="211" t="s">
        <v>79</v>
      </c>
      <c r="D43" s="212" t="s">
        <v>760</v>
      </c>
      <c r="E43" s="706" t="s">
        <v>185</v>
      </c>
      <c r="F43" s="213" t="s">
        <v>83</v>
      </c>
      <c r="G43" s="424" t="s">
        <v>192</v>
      </c>
      <c r="H43" s="210" t="s">
        <v>195</v>
      </c>
      <c r="I43" s="230" t="s">
        <v>726</v>
      </c>
      <c r="J43" s="779"/>
    </row>
    <row r="44" spans="1:10" s="703" customFormat="1" ht="12" customHeight="1">
      <c r="A44" s="210" t="s">
        <v>196</v>
      </c>
      <c r="B44" s="211" t="s">
        <v>129</v>
      </c>
      <c r="C44" s="211" t="s">
        <v>79</v>
      </c>
      <c r="D44" s="212" t="s">
        <v>314</v>
      </c>
      <c r="E44" s="706" t="s">
        <v>185</v>
      </c>
      <c r="F44" s="213" t="s">
        <v>83</v>
      </c>
      <c r="G44" s="424" t="s">
        <v>192</v>
      </c>
      <c r="H44" s="210" t="s">
        <v>196</v>
      </c>
      <c r="I44" s="230" t="s">
        <v>726</v>
      </c>
      <c r="J44" s="779"/>
    </row>
    <row r="45" spans="1:10" s="707" customFormat="1" ht="12" customHeight="1">
      <c r="A45" s="210" t="s">
        <v>202</v>
      </c>
      <c r="B45" s="211" t="s">
        <v>129</v>
      </c>
      <c r="C45" s="211" t="s">
        <v>79</v>
      </c>
      <c r="D45" s="212" t="s">
        <v>315</v>
      </c>
      <c r="E45" s="706" t="s">
        <v>185</v>
      </c>
      <c r="F45" s="213" t="s">
        <v>83</v>
      </c>
      <c r="G45" s="424" t="s">
        <v>192</v>
      </c>
      <c r="H45" s="210" t="s">
        <v>202</v>
      </c>
      <c r="I45" s="230" t="s">
        <v>726</v>
      </c>
      <c r="J45" s="779"/>
    </row>
    <row r="46" spans="1:10" s="703" customFormat="1" ht="12" customHeight="1">
      <c r="A46" s="210" t="s">
        <v>203</v>
      </c>
      <c r="B46" s="211" t="s">
        <v>129</v>
      </c>
      <c r="C46" s="211" t="s">
        <v>79</v>
      </c>
      <c r="D46" s="212" t="s">
        <v>316</v>
      </c>
      <c r="E46" s="706" t="s">
        <v>185</v>
      </c>
      <c r="F46" s="213" t="s">
        <v>83</v>
      </c>
      <c r="G46" s="424" t="s">
        <v>192</v>
      </c>
      <c r="H46" s="210" t="s">
        <v>203</v>
      </c>
      <c r="I46" s="230" t="s">
        <v>726</v>
      </c>
      <c r="J46" s="779"/>
    </row>
    <row r="47" spans="1:10" s="703" customFormat="1" ht="12" customHeight="1">
      <c r="A47" s="210" t="s">
        <v>204</v>
      </c>
      <c r="B47" s="211" t="s">
        <v>129</v>
      </c>
      <c r="C47" s="211" t="s">
        <v>79</v>
      </c>
      <c r="D47" s="212" t="s">
        <v>317</v>
      </c>
      <c r="E47" s="706" t="s">
        <v>185</v>
      </c>
      <c r="F47" s="213" t="s">
        <v>83</v>
      </c>
      <c r="G47" s="424" t="s">
        <v>192</v>
      </c>
      <c r="H47" s="210" t="s">
        <v>204</v>
      </c>
      <c r="I47" s="230" t="s">
        <v>726</v>
      </c>
      <c r="J47" s="779"/>
    </row>
    <row r="48" spans="1:10" s="703" customFormat="1" ht="12" customHeight="1">
      <c r="A48" s="210" t="s">
        <v>205</v>
      </c>
      <c r="B48" s="211" t="s">
        <v>129</v>
      </c>
      <c r="C48" s="211" t="s">
        <v>79</v>
      </c>
      <c r="D48" s="212" t="s">
        <v>318</v>
      </c>
      <c r="E48" s="706" t="s">
        <v>185</v>
      </c>
      <c r="F48" s="213" t="s">
        <v>83</v>
      </c>
      <c r="G48" s="424" t="s">
        <v>192</v>
      </c>
      <c r="H48" s="210" t="s">
        <v>205</v>
      </c>
      <c r="I48" s="230" t="s">
        <v>726</v>
      </c>
      <c r="J48" s="779"/>
    </row>
    <row r="49" spans="1:10" s="703" customFormat="1" ht="12" customHeight="1">
      <c r="A49" s="210" t="s">
        <v>206</v>
      </c>
      <c r="B49" s="211" t="s">
        <v>129</v>
      </c>
      <c r="C49" s="211" t="s">
        <v>79</v>
      </c>
      <c r="D49" s="212" t="s">
        <v>319</v>
      </c>
      <c r="E49" s="706" t="s">
        <v>185</v>
      </c>
      <c r="F49" s="213" t="s">
        <v>83</v>
      </c>
      <c r="G49" s="424" t="s">
        <v>192</v>
      </c>
      <c r="H49" s="210" t="s">
        <v>206</v>
      </c>
      <c r="I49" s="230" t="s">
        <v>726</v>
      </c>
      <c r="J49" s="779"/>
    </row>
    <row r="50" spans="1:10" s="703" customFormat="1" ht="12" customHeight="1">
      <c r="A50" s="210" t="s">
        <v>1220</v>
      </c>
      <c r="B50" s="705" t="s">
        <v>978</v>
      </c>
      <c r="C50" s="211" t="s">
        <v>79</v>
      </c>
      <c r="D50" s="212" t="s">
        <v>1219</v>
      </c>
      <c r="E50" s="706" t="s">
        <v>185</v>
      </c>
      <c r="F50" s="213" t="s">
        <v>83</v>
      </c>
      <c r="G50" s="424" t="s">
        <v>192</v>
      </c>
      <c r="H50" s="210" t="s">
        <v>1220</v>
      </c>
      <c r="I50" s="230" t="s">
        <v>727</v>
      </c>
      <c r="J50" s="779"/>
    </row>
    <row r="51" spans="1:10" s="703" customFormat="1" ht="12" customHeight="1">
      <c r="A51" s="210" t="s">
        <v>200</v>
      </c>
      <c r="B51" s="211" t="s">
        <v>129</v>
      </c>
      <c r="C51" s="211" t="s">
        <v>79</v>
      </c>
      <c r="D51" s="212" t="s">
        <v>728</v>
      </c>
      <c r="E51" s="706" t="s">
        <v>185</v>
      </c>
      <c r="F51" s="213" t="s">
        <v>83</v>
      </c>
      <c r="G51" s="424" t="s">
        <v>192</v>
      </c>
      <c r="H51" s="210" t="s">
        <v>200</v>
      </c>
      <c r="I51" s="230" t="s">
        <v>765</v>
      </c>
      <c r="J51" s="779"/>
    </row>
    <row r="52" spans="1:10" s="703" customFormat="1" ht="12" customHeight="1">
      <c r="A52" s="210" t="s">
        <v>188</v>
      </c>
      <c r="B52" s="211" t="s">
        <v>129</v>
      </c>
      <c r="C52" s="211" t="s">
        <v>79</v>
      </c>
      <c r="D52" s="212" t="s">
        <v>320</v>
      </c>
      <c r="E52" s="706" t="s">
        <v>185</v>
      </c>
      <c r="F52" s="213" t="s">
        <v>83</v>
      </c>
      <c r="G52" s="424" t="s">
        <v>737</v>
      </c>
      <c r="H52" s="210" t="s">
        <v>188</v>
      </c>
      <c r="I52" s="214" t="s">
        <v>472</v>
      </c>
      <c r="J52" s="779"/>
    </row>
    <row r="53" spans="1:10" s="703" customFormat="1" ht="12" customHeight="1">
      <c r="A53" s="210" t="s">
        <v>189</v>
      </c>
      <c r="B53" s="211" t="s">
        <v>129</v>
      </c>
      <c r="C53" s="211" t="s">
        <v>79</v>
      </c>
      <c r="D53" s="212" t="s">
        <v>321</v>
      </c>
      <c r="E53" s="706" t="s">
        <v>185</v>
      </c>
      <c r="F53" s="213" t="s">
        <v>83</v>
      </c>
      <c r="G53" s="424" t="s">
        <v>737</v>
      </c>
      <c r="H53" s="210" t="s">
        <v>189</v>
      </c>
      <c r="I53" s="214" t="s">
        <v>721</v>
      </c>
      <c r="J53" s="779"/>
    </row>
    <row r="54" spans="1:10" s="703" customFormat="1" ht="12" customHeight="1">
      <c r="A54" s="210" t="s">
        <v>160</v>
      </c>
      <c r="B54" s="211" t="s">
        <v>129</v>
      </c>
      <c r="C54" s="211" t="s">
        <v>79</v>
      </c>
      <c r="D54" s="212" t="s">
        <v>322</v>
      </c>
      <c r="E54" s="706" t="s">
        <v>185</v>
      </c>
      <c r="F54" s="213" t="s">
        <v>83</v>
      </c>
      <c r="G54" s="424" t="s">
        <v>737</v>
      </c>
      <c r="H54" s="210" t="s">
        <v>160</v>
      </c>
      <c r="I54" s="214" t="s">
        <v>722</v>
      </c>
      <c r="J54" s="779"/>
    </row>
    <row r="55" spans="1:10" s="703" customFormat="1" ht="12" customHeight="1">
      <c r="A55" s="210" t="s">
        <v>193</v>
      </c>
      <c r="B55" s="211" t="s">
        <v>129</v>
      </c>
      <c r="C55" s="211" t="s">
        <v>79</v>
      </c>
      <c r="D55" s="212" t="s">
        <v>323</v>
      </c>
      <c r="E55" s="706" t="s">
        <v>185</v>
      </c>
      <c r="F55" s="213" t="s">
        <v>83</v>
      </c>
      <c r="G55" s="424" t="s">
        <v>192</v>
      </c>
      <c r="H55" s="210" t="s">
        <v>193</v>
      </c>
      <c r="I55" s="214" t="s">
        <v>723</v>
      </c>
      <c r="J55" s="779"/>
    </row>
    <row r="56" spans="1:10" s="703" customFormat="1" ht="12" customHeight="1">
      <c r="A56" s="210" t="s">
        <v>190</v>
      </c>
      <c r="B56" s="211" t="s">
        <v>129</v>
      </c>
      <c r="C56" s="211" t="s">
        <v>79</v>
      </c>
      <c r="D56" s="212" t="s">
        <v>324</v>
      </c>
      <c r="E56" s="706" t="s">
        <v>185</v>
      </c>
      <c r="F56" s="213" t="s">
        <v>83</v>
      </c>
      <c r="G56" s="424" t="s">
        <v>737</v>
      </c>
      <c r="H56" s="210" t="s">
        <v>190</v>
      </c>
      <c r="I56" s="214" t="s">
        <v>724</v>
      </c>
      <c r="J56" s="779"/>
    </row>
    <row r="57" spans="1:10" s="703" customFormat="1" ht="12" customHeight="1">
      <c r="A57" s="210" t="s">
        <v>186</v>
      </c>
      <c r="B57" s="211" t="s">
        <v>129</v>
      </c>
      <c r="C57" s="211" t="s">
        <v>79</v>
      </c>
      <c r="D57" s="212" t="s">
        <v>137</v>
      </c>
      <c r="E57" s="706" t="s">
        <v>185</v>
      </c>
      <c r="F57" s="213" t="s">
        <v>83</v>
      </c>
      <c r="G57" s="424" t="s">
        <v>822</v>
      </c>
      <c r="H57" s="210" t="s">
        <v>186</v>
      </c>
      <c r="I57" s="214" t="s">
        <v>725</v>
      </c>
      <c r="J57" s="779"/>
    </row>
    <row r="58" spans="1:10" s="703" customFormat="1" ht="12" customHeight="1">
      <c r="A58" s="210" t="s">
        <v>187</v>
      </c>
      <c r="B58" s="211" t="s">
        <v>129</v>
      </c>
      <c r="C58" s="211" t="s">
        <v>79</v>
      </c>
      <c r="D58" s="212" t="s">
        <v>138</v>
      </c>
      <c r="E58" s="706" t="s">
        <v>185</v>
      </c>
      <c r="F58" s="213" t="s">
        <v>83</v>
      </c>
      <c r="G58" s="424" t="s">
        <v>822</v>
      </c>
      <c r="H58" s="210" t="s">
        <v>187</v>
      </c>
      <c r="I58" s="214" t="s">
        <v>734</v>
      </c>
      <c r="J58" s="779"/>
    </row>
    <row r="59" spans="1:10" s="703" customFormat="1" ht="12" customHeight="1">
      <c r="A59" s="210" t="s">
        <v>211</v>
      </c>
      <c r="B59" s="211" t="s">
        <v>129</v>
      </c>
      <c r="C59" s="211" t="s">
        <v>79</v>
      </c>
      <c r="D59" s="212" t="s">
        <v>325</v>
      </c>
      <c r="E59" s="706" t="s">
        <v>185</v>
      </c>
      <c r="F59" s="213" t="s">
        <v>84</v>
      </c>
      <c r="G59" s="424" t="s">
        <v>737</v>
      </c>
      <c r="H59" s="210" t="s">
        <v>211</v>
      </c>
      <c r="I59" s="214" t="s">
        <v>729</v>
      </c>
      <c r="J59" s="779"/>
    </row>
    <row r="60" spans="1:10" s="703" customFormat="1" ht="12" customHeight="1">
      <c r="A60" s="210" t="s">
        <v>212</v>
      </c>
      <c r="B60" s="211" t="s">
        <v>129</v>
      </c>
      <c r="C60" s="211" t="s">
        <v>79</v>
      </c>
      <c r="D60" s="212" t="s">
        <v>326</v>
      </c>
      <c r="E60" s="706" t="s">
        <v>185</v>
      </c>
      <c r="F60" s="213" t="s">
        <v>84</v>
      </c>
      <c r="G60" s="424" t="s">
        <v>192</v>
      </c>
      <c r="H60" s="210" t="s">
        <v>212</v>
      </c>
      <c r="I60" s="214" t="s">
        <v>730</v>
      </c>
      <c r="J60" s="779"/>
    </row>
    <row r="61" spans="1:10" s="703" customFormat="1" ht="12" customHeight="1">
      <c r="A61" s="210" t="s">
        <v>210</v>
      </c>
      <c r="B61" s="211" t="s">
        <v>129</v>
      </c>
      <c r="C61" s="211" t="s">
        <v>79</v>
      </c>
      <c r="D61" s="212" t="s">
        <v>779</v>
      </c>
      <c r="E61" s="706" t="s">
        <v>185</v>
      </c>
      <c r="F61" s="213" t="s">
        <v>84</v>
      </c>
      <c r="G61" s="424" t="s">
        <v>822</v>
      </c>
      <c r="H61" s="210" t="s">
        <v>210</v>
      </c>
      <c r="I61" s="230" t="s">
        <v>731</v>
      </c>
      <c r="J61" s="779"/>
    </row>
    <row r="62" spans="1:10" s="703" customFormat="1" ht="12" customHeight="1">
      <c r="A62" s="210" t="s">
        <v>96</v>
      </c>
      <c r="B62" s="211"/>
      <c r="C62" s="211" t="s">
        <v>79</v>
      </c>
      <c r="D62" s="212" t="s">
        <v>161</v>
      </c>
      <c r="E62" s="706" t="s">
        <v>185</v>
      </c>
      <c r="F62" s="213" t="s">
        <v>552</v>
      </c>
      <c r="G62" s="424" t="s">
        <v>822</v>
      </c>
      <c r="H62" s="210" t="s">
        <v>96</v>
      </c>
      <c r="I62" s="214"/>
      <c r="J62" s="779"/>
    </row>
    <row r="63" spans="1:10" s="703" customFormat="1" ht="12" customHeight="1">
      <c r="A63" s="210" t="s">
        <v>97</v>
      </c>
      <c r="B63" s="211"/>
      <c r="C63" s="211" t="s">
        <v>79</v>
      </c>
      <c r="D63" s="212" t="s">
        <v>327</v>
      </c>
      <c r="E63" s="706" t="s">
        <v>185</v>
      </c>
      <c r="F63" s="213" t="s">
        <v>588</v>
      </c>
      <c r="G63" s="424" t="s">
        <v>822</v>
      </c>
      <c r="H63" s="210" t="s">
        <v>97</v>
      </c>
      <c r="I63" s="214"/>
      <c r="J63" s="779"/>
    </row>
    <row r="64" spans="1:10" s="703" customFormat="1" ht="12" customHeight="1">
      <c r="A64" s="210" t="s">
        <v>1222</v>
      </c>
      <c r="B64" s="211"/>
      <c r="C64" s="211" t="s">
        <v>79</v>
      </c>
      <c r="D64" s="212" t="s">
        <v>1221</v>
      </c>
      <c r="E64" s="706" t="s">
        <v>185</v>
      </c>
      <c r="F64" s="213" t="s">
        <v>588</v>
      </c>
      <c r="G64" s="424" t="s">
        <v>737</v>
      </c>
      <c r="H64" s="210" t="s">
        <v>1222</v>
      </c>
      <c r="I64" s="214"/>
      <c r="J64" s="779"/>
    </row>
    <row r="65" spans="1:10" s="703" customFormat="1" ht="12" customHeight="1">
      <c r="A65" s="210" t="s">
        <v>168</v>
      </c>
      <c r="B65" s="211"/>
      <c r="C65" s="211" t="s">
        <v>79</v>
      </c>
      <c r="D65" s="212" t="s">
        <v>169</v>
      </c>
      <c r="E65" s="706" t="s">
        <v>185</v>
      </c>
      <c r="F65" s="213" t="s">
        <v>87</v>
      </c>
      <c r="G65" s="424" t="s">
        <v>192</v>
      </c>
      <c r="H65" s="210" t="s">
        <v>168</v>
      </c>
      <c r="I65" s="214"/>
      <c r="J65" s="780">
        <v>88800</v>
      </c>
    </row>
    <row r="66" spans="1:10" s="703" customFormat="1" ht="12" customHeight="1">
      <c r="A66" s="210" t="s">
        <v>170</v>
      </c>
      <c r="B66" s="211"/>
      <c r="C66" s="211" t="s">
        <v>79</v>
      </c>
      <c r="D66" s="212" t="s">
        <v>171</v>
      </c>
      <c r="E66" s="706" t="s">
        <v>185</v>
      </c>
      <c r="F66" s="213" t="s">
        <v>87</v>
      </c>
      <c r="G66" s="424" t="s">
        <v>737</v>
      </c>
      <c r="H66" s="210" t="s">
        <v>170</v>
      </c>
      <c r="I66" s="214"/>
      <c r="J66" s="780">
        <v>97200</v>
      </c>
    </row>
    <row r="67" spans="1:10" s="703" customFormat="1" ht="12" customHeight="1">
      <c r="A67" s="210" t="s">
        <v>172</v>
      </c>
      <c r="B67" s="211"/>
      <c r="C67" s="211" t="s">
        <v>79</v>
      </c>
      <c r="D67" s="212" t="s">
        <v>173</v>
      </c>
      <c r="E67" s="706" t="s">
        <v>185</v>
      </c>
      <c r="F67" s="213" t="s">
        <v>87</v>
      </c>
      <c r="G67" s="424" t="s">
        <v>822</v>
      </c>
      <c r="H67" s="210" t="s">
        <v>172</v>
      </c>
      <c r="I67" s="214"/>
      <c r="J67" s="780">
        <v>25200</v>
      </c>
    </row>
    <row r="68" spans="1:10" s="703" customFormat="1" ht="12" customHeight="1">
      <c r="A68" s="160" t="s">
        <v>214</v>
      </c>
      <c r="B68" s="215" t="s">
        <v>129</v>
      </c>
      <c r="C68" s="215" t="s">
        <v>79</v>
      </c>
      <c r="D68" s="159" t="s">
        <v>328</v>
      </c>
      <c r="E68" s="708" t="s">
        <v>213</v>
      </c>
      <c r="F68" s="216" t="s">
        <v>83</v>
      </c>
      <c r="G68" s="427" t="s">
        <v>738</v>
      </c>
      <c r="H68" s="160" t="s">
        <v>214</v>
      </c>
      <c r="I68" s="158" t="s">
        <v>215</v>
      </c>
      <c r="J68" s="779"/>
    </row>
    <row r="69" spans="1:10" s="703" customFormat="1" ht="12" customHeight="1">
      <c r="A69" s="160" t="s">
        <v>216</v>
      </c>
      <c r="B69" s="215" t="s">
        <v>129</v>
      </c>
      <c r="C69" s="215" t="s">
        <v>79</v>
      </c>
      <c r="D69" s="159" t="s">
        <v>329</v>
      </c>
      <c r="E69" s="708" t="s">
        <v>213</v>
      </c>
      <c r="F69" s="216" t="s">
        <v>83</v>
      </c>
      <c r="G69" s="427" t="s">
        <v>738</v>
      </c>
      <c r="H69" s="160" t="s">
        <v>216</v>
      </c>
      <c r="I69" s="158" t="s">
        <v>217</v>
      </c>
      <c r="J69" s="779"/>
    </row>
    <row r="70" spans="1:10" s="703" customFormat="1" ht="12" customHeight="1">
      <c r="A70" s="160" t="s">
        <v>218</v>
      </c>
      <c r="B70" s="215" t="s">
        <v>129</v>
      </c>
      <c r="C70" s="215" t="s">
        <v>79</v>
      </c>
      <c r="D70" s="159" t="s">
        <v>330</v>
      </c>
      <c r="E70" s="708" t="s">
        <v>213</v>
      </c>
      <c r="F70" s="216" t="s">
        <v>974</v>
      </c>
      <c r="G70" s="427" t="s">
        <v>738</v>
      </c>
      <c r="H70" s="160" t="s">
        <v>218</v>
      </c>
      <c r="I70" s="158" t="s">
        <v>219</v>
      </c>
      <c r="J70" s="779"/>
    </row>
    <row r="71" spans="1:10" s="703" customFormat="1" ht="12" customHeight="1">
      <c r="A71" s="160" t="s">
        <v>970</v>
      </c>
      <c r="B71" s="215" t="s">
        <v>129</v>
      </c>
      <c r="C71" s="215" t="s">
        <v>79</v>
      </c>
      <c r="D71" s="159" t="s">
        <v>331</v>
      </c>
      <c r="E71" s="708" t="s">
        <v>213</v>
      </c>
      <c r="F71" s="216" t="s">
        <v>83</v>
      </c>
      <c r="G71" s="427" t="s">
        <v>738</v>
      </c>
      <c r="H71" s="160" t="s">
        <v>970</v>
      </c>
      <c r="I71" s="158" t="s">
        <v>580</v>
      </c>
      <c r="J71" s="779"/>
    </row>
    <row r="72" spans="1:10" s="703" customFormat="1" ht="12" customHeight="1">
      <c r="A72" s="160" t="s">
        <v>582</v>
      </c>
      <c r="B72" s="215" t="s">
        <v>129</v>
      </c>
      <c r="C72" s="215" t="s">
        <v>79</v>
      </c>
      <c r="D72" s="159" t="s">
        <v>332</v>
      </c>
      <c r="E72" s="708" t="s">
        <v>213</v>
      </c>
      <c r="F72" s="216" t="s">
        <v>83</v>
      </c>
      <c r="G72" s="427" t="s">
        <v>738</v>
      </c>
      <c r="H72" s="160" t="s">
        <v>582</v>
      </c>
      <c r="I72" s="158" t="s">
        <v>583</v>
      </c>
      <c r="J72" s="779"/>
    </row>
    <row r="73" spans="1:10" s="703" customFormat="1" ht="12" customHeight="1">
      <c r="A73" s="160" t="s">
        <v>589</v>
      </c>
      <c r="B73" s="215"/>
      <c r="C73" s="215" t="s">
        <v>79</v>
      </c>
      <c r="D73" s="159" t="s">
        <v>587</v>
      </c>
      <c r="E73" s="708" t="s">
        <v>213</v>
      </c>
      <c r="F73" s="216" t="s">
        <v>588</v>
      </c>
      <c r="G73" s="426" t="s">
        <v>738</v>
      </c>
      <c r="H73" s="160" t="s">
        <v>589</v>
      </c>
      <c r="I73" s="158" t="s">
        <v>219</v>
      </c>
      <c r="J73" s="779"/>
    </row>
    <row r="74" spans="1:10" s="703" customFormat="1" ht="12" customHeight="1">
      <c r="A74" s="160" t="s">
        <v>1225</v>
      </c>
      <c r="B74" s="215"/>
      <c r="C74" s="215" t="s">
        <v>79</v>
      </c>
      <c r="D74" s="159" t="s">
        <v>1223</v>
      </c>
      <c r="E74" s="708" t="s">
        <v>213</v>
      </c>
      <c r="F74" s="216" t="s">
        <v>1224</v>
      </c>
      <c r="G74" s="427" t="s">
        <v>738</v>
      </c>
      <c r="H74" s="160" t="s">
        <v>1225</v>
      </c>
      <c r="I74" s="158"/>
      <c r="J74" s="779"/>
    </row>
    <row r="75" spans="1:10" s="707" customFormat="1" ht="12" customHeight="1">
      <c r="A75" s="163" t="s">
        <v>642</v>
      </c>
      <c r="B75" s="217" t="s">
        <v>129</v>
      </c>
      <c r="C75" s="217" t="s">
        <v>79</v>
      </c>
      <c r="D75" s="162" t="s">
        <v>333</v>
      </c>
      <c r="E75" s="709" t="s">
        <v>780</v>
      </c>
      <c r="F75" s="218" t="s">
        <v>83</v>
      </c>
      <c r="G75" s="428" t="s">
        <v>822</v>
      </c>
      <c r="H75" s="163" t="s">
        <v>642</v>
      </c>
      <c r="I75" s="161" t="s">
        <v>618</v>
      </c>
      <c r="J75" s="779"/>
    </row>
    <row r="76" spans="1:10" s="707" customFormat="1" ht="12" customHeight="1">
      <c r="A76" s="163" t="s">
        <v>1126</v>
      </c>
      <c r="B76" s="217"/>
      <c r="C76" s="217" t="s">
        <v>79</v>
      </c>
      <c r="D76" s="162" t="s">
        <v>1125</v>
      </c>
      <c r="E76" s="709" t="s">
        <v>780</v>
      </c>
      <c r="F76" s="218" t="s">
        <v>588</v>
      </c>
      <c r="G76" s="428" t="s">
        <v>822</v>
      </c>
      <c r="H76" s="163" t="s">
        <v>1126</v>
      </c>
      <c r="I76" s="161" t="s">
        <v>618</v>
      </c>
      <c r="J76" s="779"/>
    </row>
    <row r="77" spans="1:10" s="707" customFormat="1" ht="12" customHeight="1">
      <c r="A77" s="163" t="s">
        <v>1226</v>
      </c>
      <c r="B77" s="217"/>
      <c r="C77" s="217" t="s">
        <v>79</v>
      </c>
      <c r="D77" s="162" t="s">
        <v>1223</v>
      </c>
      <c r="E77" s="709" t="s">
        <v>780</v>
      </c>
      <c r="F77" s="218" t="s">
        <v>1224</v>
      </c>
      <c r="G77" s="428" t="s">
        <v>822</v>
      </c>
      <c r="H77" s="163" t="s">
        <v>1226</v>
      </c>
      <c r="I77" s="161"/>
      <c r="J77" s="779"/>
    </row>
    <row r="78" spans="1:10" s="703" customFormat="1" ht="12" customHeight="1">
      <c r="A78" s="166" t="s">
        <v>221</v>
      </c>
      <c r="B78" s="219" t="s">
        <v>129</v>
      </c>
      <c r="C78" s="219" t="s">
        <v>550</v>
      </c>
      <c r="D78" s="165" t="s">
        <v>747</v>
      </c>
      <c r="E78" s="710" t="s">
        <v>714</v>
      </c>
      <c r="F78" s="220" t="s">
        <v>83</v>
      </c>
      <c r="G78" s="429" t="s">
        <v>550</v>
      </c>
      <c r="H78" s="166" t="s">
        <v>221</v>
      </c>
      <c r="I78" s="164" t="s">
        <v>475</v>
      </c>
      <c r="J78" s="779"/>
    </row>
    <row r="79" spans="1:10" s="703" customFormat="1" ht="12" customHeight="1">
      <c r="A79" s="166" t="s">
        <v>222</v>
      </c>
      <c r="B79" s="219" t="s">
        <v>129</v>
      </c>
      <c r="C79" s="219" t="s">
        <v>550</v>
      </c>
      <c r="D79" s="165" t="s">
        <v>334</v>
      </c>
      <c r="E79" s="710" t="s">
        <v>714</v>
      </c>
      <c r="F79" s="220" t="s">
        <v>83</v>
      </c>
      <c r="G79" s="429" t="s">
        <v>550</v>
      </c>
      <c r="H79" s="166" t="s">
        <v>222</v>
      </c>
      <c r="I79" s="164" t="s">
        <v>475</v>
      </c>
      <c r="J79" s="779"/>
    </row>
    <row r="80" spans="1:10" s="703" customFormat="1" ht="12" customHeight="1">
      <c r="A80" s="166" t="s">
        <v>223</v>
      </c>
      <c r="B80" s="219" t="s">
        <v>129</v>
      </c>
      <c r="C80" s="219" t="s">
        <v>550</v>
      </c>
      <c r="D80" s="165" t="s">
        <v>335</v>
      </c>
      <c r="E80" s="710" t="s">
        <v>714</v>
      </c>
      <c r="F80" s="220" t="s">
        <v>83</v>
      </c>
      <c r="G80" s="429" t="s">
        <v>550</v>
      </c>
      <c r="H80" s="166" t="s">
        <v>223</v>
      </c>
      <c r="I80" s="164" t="s">
        <v>475</v>
      </c>
      <c r="J80" s="779"/>
    </row>
    <row r="81" spans="1:10" s="703" customFormat="1" ht="12" customHeight="1">
      <c r="A81" s="169" t="s">
        <v>225</v>
      </c>
      <c r="B81" s="221" t="s">
        <v>129</v>
      </c>
      <c r="C81" s="221" t="s">
        <v>79</v>
      </c>
      <c r="D81" s="168" t="s">
        <v>644</v>
      </c>
      <c r="E81" s="711" t="s">
        <v>224</v>
      </c>
      <c r="F81" s="222" t="s">
        <v>84</v>
      </c>
      <c r="G81" s="430" t="s">
        <v>787</v>
      </c>
      <c r="H81" s="169" t="s">
        <v>225</v>
      </c>
      <c r="I81" s="167" t="s">
        <v>716</v>
      </c>
      <c r="J81" s="779"/>
    </row>
    <row r="82" spans="1:10" s="703" customFormat="1" ht="12" customHeight="1">
      <c r="A82" s="169" t="s">
        <v>175</v>
      </c>
      <c r="B82" s="221"/>
      <c r="C82" s="221" t="s">
        <v>79</v>
      </c>
      <c r="D82" s="168" t="s">
        <v>174</v>
      </c>
      <c r="E82" s="711" t="s">
        <v>224</v>
      </c>
      <c r="F82" s="222" t="s">
        <v>87</v>
      </c>
      <c r="G82" s="430" t="s">
        <v>787</v>
      </c>
      <c r="H82" s="169" t="s">
        <v>175</v>
      </c>
      <c r="I82" s="167"/>
      <c r="J82" s="780">
        <v>158400</v>
      </c>
    </row>
    <row r="83" spans="1:10" ht="12" customHeight="1">
      <c r="A83" s="172" t="s">
        <v>972</v>
      </c>
      <c r="B83" s="223" t="s">
        <v>129</v>
      </c>
      <c r="C83" s="223" t="s">
        <v>79</v>
      </c>
      <c r="D83" s="171" t="s">
        <v>971</v>
      </c>
      <c r="E83" s="712" t="s">
        <v>226</v>
      </c>
      <c r="F83" s="224" t="s">
        <v>84</v>
      </c>
      <c r="G83" s="431" t="s">
        <v>712</v>
      </c>
      <c r="H83" s="172" t="s">
        <v>972</v>
      </c>
      <c r="I83" s="170" t="s">
        <v>366</v>
      </c>
      <c r="J83" s="779"/>
    </row>
    <row r="84" spans="1:10" ht="12" customHeight="1">
      <c r="A84" s="172" t="s">
        <v>646</v>
      </c>
      <c r="B84" s="223" t="s">
        <v>129</v>
      </c>
      <c r="C84" s="223" t="s">
        <v>79</v>
      </c>
      <c r="D84" s="171" t="s">
        <v>645</v>
      </c>
      <c r="E84" s="712" t="s">
        <v>226</v>
      </c>
      <c r="F84" s="224" t="s">
        <v>84</v>
      </c>
      <c r="G84" s="431" t="s">
        <v>184</v>
      </c>
      <c r="H84" s="172" t="s">
        <v>646</v>
      </c>
      <c r="I84" s="170" t="s">
        <v>783</v>
      </c>
      <c r="J84" s="779"/>
    </row>
    <row r="85" spans="1:10" s="703" customFormat="1" ht="12" customHeight="1">
      <c r="A85" s="174" t="s">
        <v>176</v>
      </c>
      <c r="B85" s="683" t="s">
        <v>129</v>
      </c>
      <c r="C85" s="683" t="s">
        <v>227</v>
      </c>
      <c r="D85" s="173" t="s">
        <v>584</v>
      </c>
      <c r="E85" s="713" t="s">
        <v>228</v>
      </c>
      <c r="F85" s="225" t="s">
        <v>974</v>
      </c>
      <c r="G85" s="432" t="s">
        <v>822</v>
      </c>
      <c r="H85" s="174" t="s">
        <v>176</v>
      </c>
      <c r="I85" s="175" t="s">
        <v>237</v>
      </c>
      <c r="J85" s="779"/>
    </row>
    <row r="86" spans="1:10" s="703" customFormat="1" ht="12" customHeight="1">
      <c r="A86" s="174" t="s">
        <v>585</v>
      </c>
      <c r="B86" s="683"/>
      <c r="C86" s="683" t="s">
        <v>227</v>
      </c>
      <c r="D86" s="173" t="s">
        <v>399</v>
      </c>
      <c r="E86" s="713" t="s">
        <v>228</v>
      </c>
      <c r="F86" s="225" t="s">
        <v>588</v>
      </c>
      <c r="G86" s="432" t="s">
        <v>822</v>
      </c>
      <c r="H86" s="174" t="s">
        <v>585</v>
      </c>
      <c r="I86" s="175" t="s">
        <v>237</v>
      </c>
      <c r="J86" s="779"/>
    </row>
    <row r="87" spans="1:10" s="701" customFormat="1" ht="12" customHeight="1">
      <c r="A87" s="227" t="s">
        <v>177</v>
      </c>
      <c r="B87" s="684" t="s">
        <v>129</v>
      </c>
      <c r="C87" s="684"/>
      <c r="D87" s="228" t="s">
        <v>178</v>
      </c>
      <c r="E87" s="706" t="s">
        <v>975</v>
      </c>
      <c r="F87" s="229" t="s">
        <v>83</v>
      </c>
      <c r="G87" s="434" t="s">
        <v>738</v>
      </c>
      <c r="H87" s="227" t="s">
        <v>177</v>
      </c>
      <c r="I87" s="230"/>
      <c r="J87" s="779"/>
    </row>
    <row r="88" spans="1:10" ht="12.75" customHeight="1" thickBot="1">
      <c r="A88" s="718"/>
      <c r="B88" s="714"/>
      <c r="C88" s="714"/>
      <c r="D88" s="715" t="s">
        <v>282</v>
      </c>
      <c r="E88" s="716"/>
      <c r="F88" s="717"/>
      <c r="G88" s="715"/>
      <c r="H88" s="718"/>
      <c r="I88" s="715"/>
      <c r="J88" s="719">
        <f>SUM(J2:J87)</f>
        <v>639600</v>
      </c>
    </row>
    <row r="89" spans="1:10" ht="12" customHeight="1">
      <c r="B89" s="720"/>
      <c r="C89" s="720"/>
      <c r="J89" s="736">
        <v>0</v>
      </c>
    </row>
    <row r="90" spans="1:10" ht="12" customHeight="1">
      <c r="B90" s="720"/>
      <c r="C90" s="720"/>
    </row>
  </sheetData>
  <autoFilter ref="C1:I90"/>
  <pageMargins left="0" right="0.27559055118110237" top="0.15748031496062992" bottom="0.31496062992125984" header="0" footer="0"/>
  <pageSetup paperSize="8" scale="44" fitToHeight="0" orientation="landscape" horizontalDpi="300" verticalDpi="300" r:id="rId1"/>
  <headerFooter alignWithMargins="0">
    <oddFooter>&amp;L&amp;"Arial,Italic"&amp;8&amp;Z&amp;F   ~   &amp;A&amp;R&amp;"Arial,Italic"&amp;8&amp;T   &amp;D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W83"/>
  <sheetViews>
    <sheetView zoomScaleNormal="100" workbookViewId="0">
      <pane xSplit="3" ySplit="1" topLeftCell="D2" activePane="bottomRight" state="frozen"/>
      <selection activeCell="E59" sqref="E59"/>
      <selection pane="topRight" activeCell="E59" sqref="E59"/>
      <selection pane="bottomLeft" activeCell="E59" sqref="E59"/>
      <selection pane="bottomRight" activeCell="D2" sqref="D2"/>
    </sheetView>
  </sheetViews>
  <sheetFormatPr defaultColWidth="9.140625" defaultRowHeight="12"/>
  <cols>
    <col min="1" max="1" width="9.42578125" style="739" customWidth="1"/>
    <col min="2" max="2" width="9" style="742" customWidth="1"/>
    <col min="3" max="3" width="36.28515625" style="738" customWidth="1"/>
    <col min="4" max="4" width="16.140625" style="740" customWidth="1"/>
    <col min="5" max="5" width="14.5703125" style="742" customWidth="1"/>
    <col min="6" max="6" width="11.140625" style="738" customWidth="1"/>
    <col min="7" max="7" width="9.42578125" style="739" customWidth="1"/>
    <col min="8" max="8" width="8.5703125" style="738" customWidth="1"/>
    <col min="9" max="9" width="12.28515625" style="741" bestFit="1" customWidth="1"/>
    <col min="10" max="16384" width="9.140625" style="741"/>
  </cols>
  <sheetData>
    <row r="1" spans="1:9" s="745" customFormat="1" ht="48">
      <c r="A1" s="664" t="s">
        <v>81</v>
      </c>
      <c r="B1" s="743" t="s">
        <v>76</v>
      </c>
      <c r="C1" s="418" t="s">
        <v>741</v>
      </c>
      <c r="D1" s="419" t="s">
        <v>693</v>
      </c>
      <c r="E1" s="743" t="s">
        <v>77</v>
      </c>
      <c r="F1" s="418" t="s">
        <v>740</v>
      </c>
      <c r="G1" s="664" t="s">
        <v>81</v>
      </c>
      <c r="H1" s="743" t="s">
        <v>78</v>
      </c>
      <c r="I1" s="744" t="s">
        <v>1229</v>
      </c>
    </row>
    <row r="2" spans="1:9" s="748" customFormat="1" ht="6" customHeight="1">
      <c r="A2" s="154"/>
      <c r="B2" s="152"/>
      <c r="C2" s="153"/>
      <c r="D2" s="746"/>
      <c r="E2" s="436"/>
      <c r="F2" s="153"/>
      <c r="G2" s="154"/>
      <c r="H2" s="152"/>
      <c r="I2" s="747"/>
    </row>
    <row r="3" spans="1:9" s="748" customFormat="1" ht="12" customHeight="1">
      <c r="A3" s="154" t="s">
        <v>1005</v>
      </c>
      <c r="B3" s="206" t="s">
        <v>79</v>
      </c>
      <c r="C3" s="153" t="s">
        <v>931</v>
      </c>
      <c r="D3" s="746" t="s">
        <v>82</v>
      </c>
      <c r="E3" s="207" t="s">
        <v>83</v>
      </c>
      <c r="F3" s="421" t="s">
        <v>80</v>
      </c>
      <c r="G3" s="154" t="s">
        <v>1005</v>
      </c>
      <c r="H3" s="152" t="s">
        <v>720</v>
      </c>
      <c r="I3" s="781"/>
    </row>
    <row r="4" spans="1:9" s="748" customFormat="1" ht="12" customHeight="1">
      <c r="A4" s="154" t="s">
        <v>933</v>
      </c>
      <c r="B4" s="206" t="s">
        <v>79</v>
      </c>
      <c r="C4" s="153" t="s">
        <v>932</v>
      </c>
      <c r="D4" s="746" t="s">
        <v>82</v>
      </c>
      <c r="E4" s="207" t="s">
        <v>83</v>
      </c>
      <c r="F4" s="421" t="s">
        <v>80</v>
      </c>
      <c r="G4" s="154" t="s">
        <v>933</v>
      </c>
      <c r="H4" s="152" t="s">
        <v>751</v>
      </c>
      <c r="I4" s="781"/>
    </row>
    <row r="5" spans="1:9" s="748" customFormat="1" ht="12" customHeight="1">
      <c r="A5" s="154" t="s">
        <v>1004</v>
      </c>
      <c r="B5" s="152" t="s">
        <v>79</v>
      </c>
      <c r="C5" s="153" t="s">
        <v>934</v>
      </c>
      <c r="D5" s="746" t="s">
        <v>82</v>
      </c>
      <c r="E5" s="436" t="s">
        <v>83</v>
      </c>
      <c r="F5" s="153" t="s">
        <v>80</v>
      </c>
      <c r="G5" s="154" t="s">
        <v>1004</v>
      </c>
      <c r="H5" s="152" t="s">
        <v>935</v>
      </c>
      <c r="I5" s="781"/>
    </row>
    <row r="6" spans="1:9" s="748" customFormat="1" ht="12" customHeight="1">
      <c r="A6" s="154" t="s">
        <v>937</v>
      </c>
      <c r="B6" s="152" t="s">
        <v>79</v>
      </c>
      <c r="C6" s="153" t="s">
        <v>936</v>
      </c>
      <c r="D6" s="746" t="s">
        <v>82</v>
      </c>
      <c r="E6" s="436" t="s">
        <v>83</v>
      </c>
      <c r="F6" s="153" t="s">
        <v>80</v>
      </c>
      <c r="G6" s="154" t="s">
        <v>937</v>
      </c>
      <c r="H6" s="152" t="s">
        <v>938</v>
      </c>
      <c r="I6" s="781"/>
    </row>
    <row r="7" spans="1:9" s="748" customFormat="1" ht="12" customHeight="1">
      <c r="A7" s="154" t="s">
        <v>940</v>
      </c>
      <c r="B7" s="152" t="s">
        <v>79</v>
      </c>
      <c r="C7" s="153" t="s">
        <v>939</v>
      </c>
      <c r="D7" s="746" t="s">
        <v>82</v>
      </c>
      <c r="E7" s="436" t="s">
        <v>83</v>
      </c>
      <c r="F7" s="153" t="s">
        <v>80</v>
      </c>
      <c r="G7" s="154" t="s">
        <v>940</v>
      </c>
      <c r="H7" s="152" t="s">
        <v>750</v>
      </c>
      <c r="I7" s="781"/>
    </row>
    <row r="8" spans="1:9" s="748" customFormat="1" ht="12" customHeight="1">
      <c r="A8" s="154" t="s">
        <v>942</v>
      </c>
      <c r="B8" s="152" t="s">
        <v>79</v>
      </c>
      <c r="C8" s="153" t="s">
        <v>941</v>
      </c>
      <c r="D8" s="746" t="s">
        <v>82</v>
      </c>
      <c r="E8" s="436" t="s">
        <v>83</v>
      </c>
      <c r="F8" s="153" t="s">
        <v>80</v>
      </c>
      <c r="G8" s="154" t="s">
        <v>942</v>
      </c>
      <c r="H8" s="152" t="s">
        <v>943</v>
      </c>
      <c r="I8" s="781"/>
    </row>
    <row r="9" spans="1:9" s="748" customFormat="1" ht="12" customHeight="1">
      <c r="A9" s="154" t="s">
        <v>945</v>
      </c>
      <c r="B9" s="152" t="s">
        <v>79</v>
      </c>
      <c r="C9" s="153" t="s">
        <v>944</v>
      </c>
      <c r="D9" s="746" t="s">
        <v>82</v>
      </c>
      <c r="E9" s="436" t="s">
        <v>83</v>
      </c>
      <c r="F9" s="153" t="s">
        <v>80</v>
      </c>
      <c r="G9" s="154" t="s">
        <v>945</v>
      </c>
      <c r="H9" s="152" t="s">
        <v>946</v>
      </c>
      <c r="I9" s="781"/>
    </row>
    <row r="10" spans="1:9" s="748" customFormat="1" ht="12" customHeight="1">
      <c r="A10" s="154" t="s">
        <v>948</v>
      </c>
      <c r="B10" s="152" t="s">
        <v>79</v>
      </c>
      <c r="C10" s="153" t="s">
        <v>947</v>
      </c>
      <c r="D10" s="746" t="s">
        <v>82</v>
      </c>
      <c r="E10" s="436" t="s">
        <v>83</v>
      </c>
      <c r="F10" s="153" t="s">
        <v>80</v>
      </c>
      <c r="G10" s="154" t="s">
        <v>948</v>
      </c>
      <c r="H10" s="152" t="s">
        <v>717</v>
      </c>
      <c r="I10" s="781"/>
    </row>
    <row r="11" spans="1:9" s="748" customFormat="1" ht="12" customHeight="1">
      <c r="A11" s="154" t="s">
        <v>950</v>
      </c>
      <c r="B11" s="152" t="s">
        <v>79</v>
      </c>
      <c r="C11" s="153" t="s">
        <v>949</v>
      </c>
      <c r="D11" s="746" t="s">
        <v>82</v>
      </c>
      <c r="E11" s="436" t="s">
        <v>83</v>
      </c>
      <c r="F11" s="153" t="s">
        <v>80</v>
      </c>
      <c r="G11" s="154" t="s">
        <v>950</v>
      </c>
      <c r="H11" s="152" t="s">
        <v>951</v>
      </c>
      <c r="I11" s="781"/>
    </row>
    <row r="12" spans="1:9" s="748" customFormat="1" ht="12" customHeight="1">
      <c r="A12" s="154" t="s">
        <v>953</v>
      </c>
      <c r="B12" s="152" t="s">
        <v>79</v>
      </c>
      <c r="C12" s="153" t="s">
        <v>952</v>
      </c>
      <c r="D12" s="746" t="s">
        <v>82</v>
      </c>
      <c r="E12" s="436" t="s">
        <v>83</v>
      </c>
      <c r="F12" s="153" t="s">
        <v>80</v>
      </c>
      <c r="G12" s="154" t="s">
        <v>953</v>
      </c>
      <c r="H12" s="152" t="s">
        <v>954</v>
      </c>
      <c r="I12" s="781"/>
    </row>
    <row r="13" spans="1:9" s="748" customFormat="1" ht="12" customHeight="1">
      <c r="A13" s="154" t="s">
        <v>956</v>
      </c>
      <c r="B13" s="152" t="s">
        <v>79</v>
      </c>
      <c r="C13" s="153" t="s">
        <v>955</v>
      </c>
      <c r="D13" s="746" t="s">
        <v>82</v>
      </c>
      <c r="E13" s="436" t="s">
        <v>83</v>
      </c>
      <c r="F13" s="153" t="s">
        <v>80</v>
      </c>
      <c r="G13" s="154" t="s">
        <v>956</v>
      </c>
      <c r="H13" s="152" t="s">
        <v>473</v>
      </c>
      <c r="I13" s="781"/>
    </row>
    <row r="14" spans="1:9" s="748" customFormat="1" ht="12" customHeight="1">
      <c r="A14" s="154" t="s">
        <v>958</v>
      </c>
      <c r="B14" s="152" t="s">
        <v>79</v>
      </c>
      <c r="C14" s="153" t="s">
        <v>957</v>
      </c>
      <c r="D14" s="746" t="s">
        <v>82</v>
      </c>
      <c r="E14" s="436" t="s">
        <v>83</v>
      </c>
      <c r="F14" s="153" t="s">
        <v>80</v>
      </c>
      <c r="G14" s="154" t="s">
        <v>958</v>
      </c>
      <c r="H14" s="152" t="s">
        <v>718</v>
      </c>
      <c r="I14" s="781"/>
    </row>
    <row r="15" spans="1:9" s="748" customFormat="1" ht="12" customHeight="1">
      <c r="A15" s="154" t="s">
        <v>960</v>
      </c>
      <c r="B15" s="152" t="s">
        <v>79</v>
      </c>
      <c r="C15" s="153" t="s">
        <v>959</v>
      </c>
      <c r="D15" s="746" t="s">
        <v>82</v>
      </c>
      <c r="E15" s="436" t="s">
        <v>83</v>
      </c>
      <c r="F15" s="153" t="s">
        <v>80</v>
      </c>
      <c r="G15" s="154" t="s">
        <v>960</v>
      </c>
      <c r="H15" s="152" t="s">
        <v>719</v>
      </c>
      <c r="I15" s="781"/>
    </row>
    <row r="16" spans="1:9" s="748" customFormat="1" ht="12" customHeight="1">
      <c r="A16" s="154" t="s">
        <v>1230</v>
      </c>
      <c r="B16" s="455" t="s">
        <v>1227</v>
      </c>
      <c r="C16" s="153" t="s">
        <v>961</v>
      </c>
      <c r="D16" s="746" t="s">
        <v>82</v>
      </c>
      <c r="E16" s="436" t="s">
        <v>83</v>
      </c>
      <c r="F16" s="153" t="s">
        <v>80</v>
      </c>
      <c r="G16" s="154" t="s">
        <v>1230</v>
      </c>
      <c r="H16" s="152" t="s">
        <v>753</v>
      </c>
      <c r="I16" s="782">
        <v>0</v>
      </c>
    </row>
    <row r="17" spans="1:9" s="748" customFormat="1" ht="12" customHeight="1">
      <c r="A17" s="154" t="s">
        <v>1231</v>
      </c>
      <c r="B17" s="455" t="s">
        <v>1227</v>
      </c>
      <c r="C17" s="153" t="s">
        <v>963</v>
      </c>
      <c r="D17" s="746" t="s">
        <v>82</v>
      </c>
      <c r="E17" s="436" t="s">
        <v>83</v>
      </c>
      <c r="F17" s="153" t="s">
        <v>80</v>
      </c>
      <c r="G17" s="154" t="s">
        <v>1231</v>
      </c>
      <c r="H17" s="152" t="s">
        <v>754</v>
      </c>
      <c r="I17" s="782">
        <v>0</v>
      </c>
    </row>
    <row r="18" spans="1:9" s="748" customFormat="1" ht="12" customHeight="1">
      <c r="A18" s="154" t="s">
        <v>962</v>
      </c>
      <c r="B18" s="152" t="s">
        <v>79</v>
      </c>
      <c r="C18" s="153" t="s">
        <v>961</v>
      </c>
      <c r="D18" s="746" t="s">
        <v>82</v>
      </c>
      <c r="E18" s="436" t="s">
        <v>83</v>
      </c>
      <c r="F18" s="153" t="s">
        <v>80</v>
      </c>
      <c r="G18" s="154" t="s">
        <v>962</v>
      </c>
      <c r="H18" s="152" t="s">
        <v>753</v>
      </c>
      <c r="I18" s="781"/>
    </row>
    <row r="19" spans="1:9" s="748" customFormat="1" ht="12" customHeight="1">
      <c r="A19" s="154" t="s">
        <v>130</v>
      </c>
      <c r="B19" s="152" t="s">
        <v>79</v>
      </c>
      <c r="C19" s="153" t="s">
        <v>963</v>
      </c>
      <c r="D19" s="746" t="s">
        <v>82</v>
      </c>
      <c r="E19" s="436" t="s">
        <v>83</v>
      </c>
      <c r="F19" s="153" t="s">
        <v>80</v>
      </c>
      <c r="G19" s="154" t="s">
        <v>130</v>
      </c>
      <c r="H19" s="152" t="s">
        <v>754</v>
      </c>
      <c r="I19" s="781"/>
    </row>
    <row r="20" spans="1:9" s="748" customFormat="1" ht="12" customHeight="1">
      <c r="A20" s="154" t="s">
        <v>131</v>
      </c>
      <c r="B20" s="152" t="s">
        <v>79</v>
      </c>
      <c r="C20" s="153" t="s">
        <v>964</v>
      </c>
      <c r="D20" s="746" t="s">
        <v>82</v>
      </c>
      <c r="E20" s="436" t="s">
        <v>83</v>
      </c>
      <c r="F20" s="153" t="s">
        <v>80</v>
      </c>
      <c r="G20" s="154" t="s">
        <v>131</v>
      </c>
      <c r="H20" s="152" t="s">
        <v>755</v>
      </c>
      <c r="I20" s="781"/>
    </row>
    <row r="21" spans="1:9" s="748" customFormat="1" ht="12" customHeight="1">
      <c r="A21" s="154" t="s">
        <v>132</v>
      </c>
      <c r="B21" s="152" t="s">
        <v>79</v>
      </c>
      <c r="C21" s="153" t="s">
        <v>965</v>
      </c>
      <c r="D21" s="746" t="s">
        <v>82</v>
      </c>
      <c r="E21" s="436" t="s">
        <v>83</v>
      </c>
      <c r="F21" s="153" t="s">
        <v>80</v>
      </c>
      <c r="G21" s="154" t="s">
        <v>132</v>
      </c>
      <c r="H21" s="152" t="s">
        <v>756</v>
      </c>
      <c r="I21" s="781"/>
    </row>
    <row r="22" spans="1:9" s="748" customFormat="1" ht="12" customHeight="1">
      <c r="A22" s="154" t="s">
        <v>133</v>
      </c>
      <c r="B22" s="152" t="s">
        <v>79</v>
      </c>
      <c r="C22" s="153" t="s">
        <v>966</v>
      </c>
      <c r="D22" s="746" t="s">
        <v>82</v>
      </c>
      <c r="E22" s="436" t="s">
        <v>83</v>
      </c>
      <c r="F22" s="153" t="s">
        <v>80</v>
      </c>
      <c r="G22" s="154" t="s">
        <v>133</v>
      </c>
      <c r="H22" s="152" t="s">
        <v>758</v>
      </c>
      <c r="I22" s="781"/>
    </row>
    <row r="23" spans="1:9" s="748" customFormat="1" ht="12" customHeight="1">
      <c r="A23" s="157" t="s">
        <v>639</v>
      </c>
      <c r="B23" s="208" t="s">
        <v>79</v>
      </c>
      <c r="C23" s="156" t="s">
        <v>967</v>
      </c>
      <c r="D23" s="749" t="s">
        <v>88</v>
      </c>
      <c r="E23" s="209" t="s">
        <v>83</v>
      </c>
      <c r="F23" s="423" t="s">
        <v>184</v>
      </c>
      <c r="G23" s="157" t="s">
        <v>639</v>
      </c>
      <c r="H23" s="155" t="s">
        <v>710</v>
      </c>
      <c r="I23" s="781"/>
    </row>
    <row r="24" spans="1:9" s="748" customFormat="1" ht="12" customHeight="1">
      <c r="A24" s="157" t="s">
        <v>640</v>
      </c>
      <c r="B24" s="208" t="s">
        <v>79</v>
      </c>
      <c r="C24" s="156" t="s">
        <v>968</v>
      </c>
      <c r="D24" s="749" t="s">
        <v>88</v>
      </c>
      <c r="E24" s="209" t="s">
        <v>83</v>
      </c>
      <c r="F24" s="423" t="s">
        <v>184</v>
      </c>
      <c r="G24" s="157" t="s">
        <v>640</v>
      </c>
      <c r="H24" s="155" t="s">
        <v>711</v>
      </c>
      <c r="I24" s="781"/>
    </row>
    <row r="25" spans="1:9" s="748" customFormat="1" ht="12" customHeight="1">
      <c r="A25" s="157" t="s">
        <v>641</v>
      </c>
      <c r="B25" s="155" t="s">
        <v>79</v>
      </c>
      <c r="C25" s="156" t="s">
        <v>969</v>
      </c>
      <c r="D25" s="749" t="s">
        <v>88</v>
      </c>
      <c r="E25" s="209" t="s">
        <v>84</v>
      </c>
      <c r="F25" s="423" t="s">
        <v>184</v>
      </c>
      <c r="G25" s="157" t="s">
        <v>641</v>
      </c>
      <c r="H25" s="155" t="s">
        <v>715</v>
      </c>
      <c r="I25" s="781"/>
    </row>
    <row r="26" spans="1:9" s="748" customFormat="1" ht="12" customHeight="1">
      <c r="A26" s="157" t="s">
        <v>977</v>
      </c>
      <c r="B26" s="155" t="s">
        <v>79</v>
      </c>
      <c r="C26" s="156" t="s">
        <v>976</v>
      </c>
      <c r="D26" s="749" t="s">
        <v>88</v>
      </c>
      <c r="E26" s="437" t="s">
        <v>590</v>
      </c>
      <c r="F26" s="156" t="s">
        <v>179</v>
      </c>
      <c r="G26" s="157" t="s">
        <v>977</v>
      </c>
      <c r="H26" s="155" t="s">
        <v>474</v>
      </c>
      <c r="I26" s="781"/>
    </row>
    <row r="27" spans="1:9" s="748" customFormat="1" ht="12" customHeight="1">
      <c r="A27" s="157" t="s">
        <v>634</v>
      </c>
      <c r="B27" s="155" t="s">
        <v>79</v>
      </c>
      <c r="C27" s="156" t="s">
        <v>979</v>
      </c>
      <c r="D27" s="749" t="s">
        <v>88</v>
      </c>
      <c r="E27" s="438" t="s">
        <v>590</v>
      </c>
      <c r="F27" s="156" t="s">
        <v>179</v>
      </c>
      <c r="G27" s="157" t="s">
        <v>634</v>
      </c>
      <c r="H27" s="155" t="s">
        <v>707</v>
      </c>
      <c r="I27" s="781"/>
    </row>
    <row r="28" spans="1:9" s="748" customFormat="1" ht="12" customHeight="1">
      <c r="A28" s="157" t="s">
        <v>981</v>
      </c>
      <c r="B28" s="155" t="s">
        <v>79</v>
      </c>
      <c r="C28" s="156" t="s">
        <v>980</v>
      </c>
      <c r="D28" s="749" t="s">
        <v>88</v>
      </c>
      <c r="E28" s="438" t="s">
        <v>590</v>
      </c>
      <c r="F28" s="156" t="s">
        <v>179</v>
      </c>
      <c r="G28" s="157" t="s">
        <v>981</v>
      </c>
      <c r="H28" s="155" t="s">
        <v>708</v>
      </c>
      <c r="I28" s="781"/>
    </row>
    <row r="29" spans="1:9" s="748" customFormat="1" ht="12" customHeight="1">
      <c r="A29" s="157" t="s">
        <v>635</v>
      </c>
      <c r="B29" s="155" t="s">
        <v>79</v>
      </c>
      <c r="C29" s="156" t="s">
        <v>982</v>
      </c>
      <c r="D29" s="749" t="s">
        <v>88</v>
      </c>
      <c r="E29" s="438" t="s">
        <v>590</v>
      </c>
      <c r="F29" s="156" t="s">
        <v>179</v>
      </c>
      <c r="G29" s="157" t="s">
        <v>635</v>
      </c>
      <c r="H29" s="155" t="s">
        <v>709</v>
      </c>
      <c r="I29" s="781"/>
    </row>
    <row r="30" spans="1:9" s="748" customFormat="1" ht="12" customHeight="1">
      <c r="A30" s="157" t="s">
        <v>636</v>
      </c>
      <c r="B30" s="155" t="s">
        <v>79</v>
      </c>
      <c r="C30" s="156" t="s">
        <v>983</v>
      </c>
      <c r="D30" s="749" t="s">
        <v>88</v>
      </c>
      <c r="E30" s="438" t="s">
        <v>590</v>
      </c>
      <c r="F30" s="156" t="s">
        <v>179</v>
      </c>
      <c r="G30" s="157" t="s">
        <v>636</v>
      </c>
      <c r="H30" s="155" t="s">
        <v>705</v>
      </c>
      <c r="I30" s="781"/>
    </row>
    <row r="31" spans="1:9" s="748" customFormat="1" ht="12" customHeight="1">
      <c r="A31" s="157" t="s">
        <v>1147</v>
      </c>
      <c r="B31" s="690" t="s">
        <v>79</v>
      </c>
      <c r="C31" s="156" t="s">
        <v>1146</v>
      </c>
      <c r="D31" s="749" t="s">
        <v>88</v>
      </c>
      <c r="E31" s="438" t="s">
        <v>590</v>
      </c>
      <c r="F31" s="156" t="s">
        <v>179</v>
      </c>
      <c r="G31" s="157" t="s">
        <v>1147</v>
      </c>
      <c r="H31" s="155" t="s">
        <v>1148</v>
      </c>
      <c r="I31" s="781"/>
    </row>
    <row r="32" spans="1:9" s="748" customFormat="1" ht="12" customHeight="1">
      <c r="A32" s="157" t="s">
        <v>1150</v>
      </c>
      <c r="B32" s="690" t="s">
        <v>79</v>
      </c>
      <c r="C32" s="156" t="s">
        <v>1149</v>
      </c>
      <c r="D32" s="749" t="s">
        <v>88</v>
      </c>
      <c r="E32" s="438" t="s">
        <v>590</v>
      </c>
      <c r="F32" s="156" t="s">
        <v>179</v>
      </c>
      <c r="G32" s="157" t="s">
        <v>1150</v>
      </c>
      <c r="H32" s="155" t="s">
        <v>1151</v>
      </c>
      <c r="I32" s="781"/>
    </row>
    <row r="33" spans="1:9" s="748" customFormat="1" ht="12" customHeight="1">
      <c r="A33" s="157" t="s">
        <v>985</v>
      </c>
      <c r="B33" s="155" t="s">
        <v>79</v>
      </c>
      <c r="C33" s="156" t="s">
        <v>984</v>
      </c>
      <c r="D33" s="749" t="s">
        <v>88</v>
      </c>
      <c r="E33" s="438" t="s">
        <v>590</v>
      </c>
      <c r="F33" s="156" t="s">
        <v>787</v>
      </c>
      <c r="G33" s="157" t="s">
        <v>985</v>
      </c>
      <c r="H33" s="155" t="s">
        <v>180</v>
      </c>
      <c r="I33" s="781"/>
    </row>
    <row r="34" spans="1:9" s="748" customFormat="1" ht="12" customHeight="1">
      <c r="A34" s="157" t="s">
        <v>637</v>
      </c>
      <c r="B34" s="155" t="s">
        <v>79</v>
      </c>
      <c r="C34" s="156" t="s">
        <v>986</v>
      </c>
      <c r="D34" s="749" t="s">
        <v>88</v>
      </c>
      <c r="E34" s="438" t="s">
        <v>590</v>
      </c>
      <c r="F34" s="156" t="s">
        <v>787</v>
      </c>
      <c r="G34" s="157" t="s">
        <v>637</v>
      </c>
      <c r="H34" s="155" t="s">
        <v>181</v>
      </c>
      <c r="I34" s="781"/>
    </row>
    <row r="35" spans="1:9" s="748" customFormat="1" ht="12" customHeight="1">
      <c r="A35" s="157" t="s">
        <v>638</v>
      </c>
      <c r="B35" s="155" t="s">
        <v>79</v>
      </c>
      <c r="C35" s="156" t="s">
        <v>987</v>
      </c>
      <c r="D35" s="749" t="s">
        <v>88</v>
      </c>
      <c r="E35" s="438" t="s">
        <v>590</v>
      </c>
      <c r="F35" s="156" t="s">
        <v>787</v>
      </c>
      <c r="G35" s="157" t="s">
        <v>638</v>
      </c>
      <c r="H35" s="155" t="s">
        <v>182</v>
      </c>
      <c r="I35" s="781"/>
    </row>
    <row r="36" spans="1:9" s="748" customFormat="1" ht="12" customHeight="1">
      <c r="A36" s="157" t="s">
        <v>989</v>
      </c>
      <c r="B36" s="155" t="s">
        <v>79</v>
      </c>
      <c r="C36" s="156" t="s">
        <v>988</v>
      </c>
      <c r="D36" s="749" t="s">
        <v>88</v>
      </c>
      <c r="E36" s="438" t="s">
        <v>590</v>
      </c>
      <c r="F36" s="156" t="s">
        <v>787</v>
      </c>
      <c r="G36" s="157" t="s">
        <v>989</v>
      </c>
      <c r="H36" s="155" t="s">
        <v>183</v>
      </c>
      <c r="I36" s="781"/>
    </row>
    <row r="37" spans="1:9" s="748" customFormat="1" ht="12" customHeight="1">
      <c r="A37" s="157" t="s">
        <v>991</v>
      </c>
      <c r="B37" s="155" t="s">
        <v>79</v>
      </c>
      <c r="C37" s="156" t="s">
        <v>990</v>
      </c>
      <c r="D37" s="749" t="s">
        <v>88</v>
      </c>
      <c r="E37" s="438" t="s">
        <v>592</v>
      </c>
      <c r="F37" s="156" t="s">
        <v>179</v>
      </c>
      <c r="G37" s="157" t="s">
        <v>991</v>
      </c>
      <c r="H37" s="155" t="s">
        <v>617</v>
      </c>
      <c r="I37" s="781"/>
    </row>
    <row r="38" spans="1:9" s="748" customFormat="1" ht="12" customHeight="1">
      <c r="A38" s="157" t="s">
        <v>993</v>
      </c>
      <c r="B38" s="155" t="s">
        <v>79</v>
      </c>
      <c r="C38" s="156" t="s">
        <v>992</v>
      </c>
      <c r="D38" s="749" t="s">
        <v>88</v>
      </c>
      <c r="E38" s="438" t="s">
        <v>592</v>
      </c>
      <c r="F38" s="156" t="s">
        <v>179</v>
      </c>
      <c r="G38" s="157" t="s">
        <v>993</v>
      </c>
      <c r="H38" s="155" t="s">
        <v>781</v>
      </c>
      <c r="I38" s="781"/>
    </row>
    <row r="39" spans="1:9" s="748" customFormat="1" ht="12" customHeight="1">
      <c r="A39" s="442" t="s">
        <v>186</v>
      </c>
      <c r="B39" s="439" t="s">
        <v>79</v>
      </c>
      <c r="C39" s="440" t="s">
        <v>139</v>
      </c>
      <c r="D39" s="750" t="s">
        <v>185</v>
      </c>
      <c r="E39" s="441" t="s">
        <v>590</v>
      </c>
      <c r="F39" s="440" t="s">
        <v>822</v>
      </c>
      <c r="G39" s="442" t="s">
        <v>186</v>
      </c>
      <c r="H39" s="439" t="s">
        <v>725</v>
      </c>
      <c r="I39" s="781"/>
    </row>
    <row r="40" spans="1:9" s="748" customFormat="1" ht="12" customHeight="1">
      <c r="A40" s="442" t="s">
        <v>187</v>
      </c>
      <c r="B40" s="439" t="s">
        <v>79</v>
      </c>
      <c r="C40" s="440" t="s">
        <v>140</v>
      </c>
      <c r="D40" s="750" t="s">
        <v>185</v>
      </c>
      <c r="E40" s="441" t="s">
        <v>590</v>
      </c>
      <c r="F40" s="440" t="s">
        <v>822</v>
      </c>
      <c r="G40" s="442" t="s">
        <v>187</v>
      </c>
      <c r="H40" s="439" t="s">
        <v>734</v>
      </c>
      <c r="I40" s="781"/>
    </row>
    <row r="41" spans="1:9" s="748" customFormat="1" ht="12" customHeight="1">
      <c r="A41" s="442" t="s">
        <v>188</v>
      </c>
      <c r="B41" s="439" t="s">
        <v>79</v>
      </c>
      <c r="C41" s="440" t="s">
        <v>141</v>
      </c>
      <c r="D41" s="750" t="s">
        <v>185</v>
      </c>
      <c r="E41" s="441" t="s">
        <v>590</v>
      </c>
      <c r="F41" s="440" t="s">
        <v>737</v>
      </c>
      <c r="G41" s="442" t="s">
        <v>188</v>
      </c>
      <c r="H41" s="439" t="s">
        <v>472</v>
      </c>
      <c r="I41" s="781"/>
    </row>
    <row r="42" spans="1:9" s="748" customFormat="1" ht="12" customHeight="1">
      <c r="A42" s="439" t="s">
        <v>189</v>
      </c>
      <c r="B42" s="439" t="s">
        <v>79</v>
      </c>
      <c r="C42" s="750" t="s">
        <v>142</v>
      </c>
      <c r="D42" s="751" t="s">
        <v>185</v>
      </c>
      <c r="E42" s="440" t="s">
        <v>590</v>
      </c>
      <c r="F42" s="442" t="s">
        <v>737</v>
      </c>
      <c r="G42" s="439" t="s">
        <v>189</v>
      </c>
      <c r="H42" s="439" t="s">
        <v>721</v>
      </c>
      <c r="I42" s="781"/>
    </row>
    <row r="43" spans="1:9" s="748" customFormat="1" ht="12" customHeight="1">
      <c r="A43" s="439" t="s">
        <v>160</v>
      </c>
      <c r="B43" s="439" t="s">
        <v>79</v>
      </c>
      <c r="C43" s="440" t="s">
        <v>143</v>
      </c>
      <c r="D43" s="751" t="s">
        <v>185</v>
      </c>
      <c r="E43" s="440" t="s">
        <v>590</v>
      </c>
      <c r="F43" s="442" t="s">
        <v>737</v>
      </c>
      <c r="G43" s="439" t="s">
        <v>160</v>
      </c>
      <c r="H43" s="439" t="s">
        <v>722</v>
      </c>
      <c r="I43" s="781"/>
    </row>
    <row r="44" spans="1:9" s="748" customFormat="1" ht="12" customHeight="1">
      <c r="A44" s="442" t="s">
        <v>190</v>
      </c>
      <c r="B44" s="439" t="s">
        <v>79</v>
      </c>
      <c r="C44" s="440" t="s">
        <v>144</v>
      </c>
      <c r="D44" s="750" t="s">
        <v>185</v>
      </c>
      <c r="E44" s="441" t="s">
        <v>590</v>
      </c>
      <c r="F44" s="440" t="s">
        <v>737</v>
      </c>
      <c r="G44" s="442" t="s">
        <v>190</v>
      </c>
      <c r="H44" s="439" t="s">
        <v>724</v>
      </c>
      <c r="I44" s="781"/>
    </row>
    <row r="45" spans="1:9" s="748" customFormat="1" ht="12" customHeight="1">
      <c r="A45" s="442" t="s">
        <v>193</v>
      </c>
      <c r="B45" s="439" t="s">
        <v>79</v>
      </c>
      <c r="C45" s="440" t="s">
        <v>145</v>
      </c>
      <c r="D45" s="750" t="s">
        <v>185</v>
      </c>
      <c r="E45" s="441" t="s">
        <v>590</v>
      </c>
      <c r="F45" s="440" t="s">
        <v>192</v>
      </c>
      <c r="G45" s="442" t="s">
        <v>193</v>
      </c>
      <c r="H45" s="439" t="s">
        <v>723</v>
      </c>
      <c r="I45" s="781"/>
    </row>
    <row r="46" spans="1:9" s="748" customFormat="1" ht="12" customHeight="1">
      <c r="A46" s="442" t="s">
        <v>194</v>
      </c>
      <c r="B46" s="439" t="s">
        <v>79</v>
      </c>
      <c r="C46" s="440" t="s">
        <v>759</v>
      </c>
      <c r="D46" s="750" t="s">
        <v>185</v>
      </c>
      <c r="E46" s="441" t="s">
        <v>590</v>
      </c>
      <c r="F46" s="440" t="s">
        <v>192</v>
      </c>
      <c r="G46" s="442" t="s">
        <v>194</v>
      </c>
      <c r="H46" s="439" t="s">
        <v>726</v>
      </c>
      <c r="I46" s="781"/>
    </row>
    <row r="47" spans="1:9" s="748" customFormat="1" ht="12" customHeight="1">
      <c r="A47" s="442" t="s">
        <v>195</v>
      </c>
      <c r="B47" s="439" t="s">
        <v>79</v>
      </c>
      <c r="C47" s="440" t="s">
        <v>760</v>
      </c>
      <c r="D47" s="750" t="s">
        <v>185</v>
      </c>
      <c r="E47" s="441" t="s">
        <v>590</v>
      </c>
      <c r="F47" s="440" t="s">
        <v>192</v>
      </c>
      <c r="G47" s="442" t="s">
        <v>195</v>
      </c>
      <c r="H47" s="439" t="s">
        <v>726</v>
      </c>
      <c r="I47" s="781"/>
    </row>
    <row r="48" spans="1:9" s="748" customFormat="1" ht="12" customHeight="1">
      <c r="A48" s="442" t="s">
        <v>196</v>
      </c>
      <c r="B48" s="439" t="s">
        <v>79</v>
      </c>
      <c r="C48" s="440" t="s">
        <v>761</v>
      </c>
      <c r="D48" s="750" t="s">
        <v>185</v>
      </c>
      <c r="E48" s="441" t="s">
        <v>590</v>
      </c>
      <c r="F48" s="440" t="s">
        <v>192</v>
      </c>
      <c r="G48" s="442" t="s">
        <v>196</v>
      </c>
      <c r="H48" s="439" t="s">
        <v>726</v>
      </c>
      <c r="I48" s="781"/>
    </row>
    <row r="49" spans="1:75" s="748" customFormat="1" ht="12" customHeight="1">
      <c r="A49" s="442" t="s">
        <v>200</v>
      </c>
      <c r="B49" s="439" t="s">
        <v>79</v>
      </c>
      <c r="C49" s="440" t="s">
        <v>728</v>
      </c>
      <c r="D49" s="750" t="s">
        <v>185</v>
      </c>
      <c r="E49" s="441" t="s">
        <v>590</v>
      </c>
      <c r="F49" s="440" t="s">
        <v>192</v>
      </c>
      <c r="G49" s="442" t="s">
        <v>200</v>
      </c>
      <c r="H49" s="439" t="s">
        <v>765</v>
      </c>
      <c r="I49" s="781"/>
    </row>
    <row r="50" spans="1:75" ht="12" customHeight="1">
      <c r="A50" s="442" t="s">
        <v>202</v>
      </c>
      <c r="B50" s="439" t="s">
        <v>79</v>
      </c>
      <c r="C50" s="440" t="s">
        <v>767</v>
      </c>
      <c r="D50" s="750" t="s">
        <v>185</v>
      </c>
      <c r="E50" s="441" t="s">
        <v>590</v>
      </c>
      <c r="F50" s="440" t="s">
        <v>192</v>
      </c>
      <c r="G50" s="442" t="s">
        <v>202</v>
      </c>
      <c r="H50" s="439" t="s">
        <v>726</v>
      </c>
      <c r="I50" s="781"/>
    </row>
    <row r="51" spans="1:75" s="748" customFormat="1" ht="12" customHeight="1">
      <c r="A51" s="442" t="s">
        <v>203</v>
      </c>
      <c r="B51" s="439" t="s">
        <v>79</v>
      </c>
      <c r="C51" s="443" t="s">
        <v>768</v>
      </c>
      <c r="D51" s="750" t="s">
        <v>185</v>
      </c>
      <c r="E51" s="441" t="s">
        <v>590</v>
      </c>
      <c r="F51" s="440" t="s">
        <v>192</v>
      </c>
      <c r="G51" s="442" t="s">
        <v>203</v>
      </c>
      <c r="H51" s="439" t="s">
        <v>726</v>
      </c>
      <c r="I51" s="781"/>
      <c r="AU51" s="665"/>
      <c r="AV51" s="665"/>
      <c r="AW51" s="669"/>
      <c r="AX51" s="670"/>
      <c r="AY51" s="670"/>
      <c r="AZ51" s="670"/>
      <c r="BA51" s="752"/>
      <c r="BB51" s="752"/>
      <c r="BC51" s="671"/>
      <c r="BD51" s="671"/>
      <c r="BE51" s="665"/>
      <c r="BF51" s="671"/>
    </row>
    <row r="52" spans="1:75" s="748" customFormat="1" ht="12" customHeight="1">
      <c r="A52" s="442" t="s">
        <v>204</v>
      </c>
      <c r="B52" s="439" t="s">
        <v>79</v>
      </c>
      <c r="C52" s="443" t="s">
        <v>769</v>
      </c>
      <c r="D52" s="750" t="s">
        <v>185</v>
      </c>
      <c r="E52" s="441" t="s">
        <v>590</v>
      </c>
      <c r="F52" s="440" t="s">
        <v>192</v>
      </c>
      <c r="G52" s="442" t="s">
        <v>204</v>
      </c>
      <c r="H52" s="439" t="s">
        <v>726</v>
      </c>
      <c r="I52" s="781"/>
      <c r="AR52" s="665"/>
      <c r="AS52" s="665"/>
      <c r="AT52" s="669"/>
      <c r="AU52" s="670"/>
      <c r="AV52" s="670"/>
      <c r="AW52" s="670"/>
      <c r="AX52" s="752"/>
      <c r="AY52" s="752"/>
      <c r="AZ52" s="671"/>
      <c r="BA52" s="671"/>
      <c r="BB52" s="665"/>
      <c r="BC52" s="671"/>
      <c r="BW52" s="665"/>
    </row>
    <row r="53" spans="1:75" s="748" customFormat="1" ht="12" customHeight="1">
      <c r="A53" s="442" t="s">
        <v>205</v>
      </c>
      <c r="B53" s="439" t="s">
        <v>79</v>
      </c>
      <c r="C53" s="443" t="s">
        <v>770</v>
      </c>
      <c r="D53" s="750" t="s">
        <v>185</v>
      </c>
      <c r="E53" s="441" t="s">
        <v>590</v>
      </c>
      <c r="F53" s="440" t="s">
        <v>192</v>
      </c>
      <c r="G53" s="442" t="s">
        <v>205</v>
      </c>
      <c r="H53" s="439" t="s">
        <v>726</v>
      </c>
      <c r="I53" s="781"/>
      <c r="AR53" s="425"/>
      <c r="AS53" s="425"/>
      <c r="AT53" s="672"/>
      <c r="AU53" s="673"/>
      <c r="AV53" s="673"/>
      <c r="AW53" s="673"/>
      <c r="AX53" s="753"/>
      <c r="AY53" s="753"/>
      <c r="AZ53" s="422"/>
      <c r="BA53" s="422"/>
      <c r="BB53" s="425"/>
      <c r="BC53" s="422"/>
      <c r="BW53" s="425"/>
    </row>
    <row r="54" spans="1:75" s="748" customFormat="1" ht="12" customHeight="1">
      <c r="A54" s="442" t="s">
        <v>206</v>
      </c>
      <c r="B54" s="439" t="s">
        <v>79</v>
      </c>
      <c r="C54" s="443" t="s">
        <v>772</v>
      </c>
      <c r="D54" s="750" t="s">
        <v>185</v>
      </c>
      <c r="E54" s="441" t="s">
        <v>590</v>
      </c>
      <c r="F54" s="440" t="s">
        <v>192</v>
      </c>
      <c r="G54" s="442" t="s">
        <v>206</v>
      </c>
      <c r="H54" s="439" t="s">
        <v>726</v>
      </c>
      <c r="I54" s="781"/>
      <c r="AR54" s="425"/>
      <c r="AS54" s="425"/>
      <c r="AT54" s="672"/>
      <c r="AU54" s="673"/>
      <c r="AV54" s="673"/>
      <c r="AW54" s="673"/>
      <c r="AX54" s="753"/>
      <c r="AY54" s="753"/>
      <c r="AZ54" s="422"/>
      <c r="BA54" s="422"/>
      <c r="BB54" s="425"/>
      <c r="BC54" s="422"/>
      <c r="BW54" s="425"/>
    </row>
    <row r="55" spans="1:75" ht="12" customHeight="1">
      <c r="A55" s="442" t="s">
        <v>207</v>
      </c>
      <c r="B55" s="455" t="s">
        <v>1227</v>
      </c>
      <c r="C55" s="440" t="s">
        <v>773</v>
      </c>
      <c r="D55" s="750" t="s">
        <v>185</v>
      </c>
      <c r="E55" s="441" t="s">
        <v>590</v>
      </c>
      <c r="F55" s="440" t="s">
        <v>192</v>
      </c>
      <c r="G55" s="442" t="s">
        <v>207</v>
      </c>
      <c r="H55" s="439" t="s">
        <v>727</v>
      </c>
      <c r="I55" s="782">
        <v>0</v>
      </c>
    </row>
    <row r="56" spans="1:75" ht="12" customHeight="1">
      <c r="A56" s="442" t="s">
        <v>191</v>
      </c>
      <c r="B56" s="455" t="s">
        <v>1227</v>
      </c>
      <c r="C56" s="440" t="s">
        <v>774</v>
      </c>
      <c r="D56" s="750" t="s">
        <v>185</v>
      </c>
      <c r="E56" s="441" t="s">
        <v>590</v>
      </c>
      <c r="F56" s="440" t="s">
        <v>192</v>
      </c>
      <c r="G56" s="442" t="s">
        <v>191</v>
      </c>
      <c r="H56" s="439" t="s">
        <v>727</v>
      </c>
      <c r="I56" s="782">
        <v>0</v>
      </c>
    </row>
    <row r="57" spans="1:75" ht="12" customHeight="1">
      <c r="A57" s="442" t="s">
        <v>201</v>
      </c>
      <c r="B57" s="455" t="s">
        <v>1227</v>
      </c>
      <c r="C57" s="440" t="s">
        <v>159</v>
      </c>
      <c r="D57" s="750" t="s">
        <v>185</v>
      </c>
      <c r="E57" s="441" t="s">
        <v>590</v>
      </c>
      <c r="F57" s="440" t="s">
        <v>192</v>
      </c>
      <c r="G57" s="442" t="s">
        <v>201</v>
      </c>
      <c r="H57" s="439" t="s">
        <v>727</v>
      </c>
      <c r="I57" s="782">
        <v>0</v>
      </c>
    </row>
    <row r="58" spans="1:75" ht="12" customHeight="1">
      <c r="A58" s="442" t="s">
        <v>208</v>
      </c>
      <c r="B58" s="455" t="s">
        <v>1227</v>
      </c>
      <c r="C58" s="440" t="s">
        <v>775</v>
      </c>
      <c r="D58" s="750" t="s">
        <v>185</v>
      </c>
      <c r="E58" s="441" t="s">
        <v>590</v>
      </c>
      <c r="F58" s="440" t="s">
        <v>192</v>
      </c>
      <c r="G58" s="442" t="s">
        <v>208</v>
      </c>
      <c r="H58" s="439" t="s">
        <v>727</v>
      </c>
      <c r="I58" s="782">
        <v>0</v>
      </c>
    </row>
    <row r="59" spans="1:75" ht="12" customHeight="1">
      <c r="A59" s="442" t="s">
        <v>209</v>
      </c>
      <c r="B59" s="455" t="s">
        <v>1227</v>
      </c>
      <c r="C59" s="440" t="s">
        <v>776</v>
      </c>
      <c r="D59" s="750" t="s">
        <v>185</v>
      </c>
      <c r="E59" s="441" t="s">
        <v>590</v>
      </c>
      <c r="F59" s="440" t="s">
        <v>192</v>
      </c>
      <c r="G59" s="442" t="s">
        <v>209</v>
      </c>
      <c r="H59" s="439" t="s">
        <v>727</v>
      </c>
      <c r="I59" s="782">
        <v>0</v>
      </c>
    </row>
    <row r="60" spans="1:75" s="748" customFormat="1" ht="12" customHeight="1">
      <c r="A60" s="442" t="s">
        <v>197</v>
      </c>
      <c r="B60" s="455" t="s">
        <v>1227</v>
      </c>
      <c r="C60" s="440" t="s">
        <v>762</v>
      </c>
      <c r="D60" s="750" t="s">
        <v>185</v>
      </c>
      <c r="E60" s="441" t="s">
        <v>590</v>
      </c>
      <c r="F60" s="440" t="s">
        <v>192</v>
      </c>
      <c r="G60" s="442" t="s">
        <v>197</v>
      </c>
      <c r="H60" s="439" t="s">
        <v>727</v>
      </c>
      <c r="I60" s="782">
        <v>0</v>
      </c>
    </row>
    <row r="61" spans="1:75" s="748" customFormat="1" ht="12" customHeight="1">
      <c r="A61" s="442" t="s">
        <v>198</v>
      </c>
      <c r="B61" s="455" t="s">
        <v>1227</v>
      </c>
      <c r="C61" s="440" t="s">
        <v>763</v>
      </c>
      <c r="D61" s="750" t="s">
        <v>185</v>
      </c>
      <c r="E61" s="441" t="s">
        <v>590</v>
      </c>
      <c r="F61" s="440" t="s">
        <v>192</v>
      </c>
      <c r="G61" s="442" t="s">
        <v>198</v>
      </c>
      <c r="H61" s="439" t="s">
        <v>727</v>
      </c>
      <c r="I61" s="782">
        <v>0</v>
      </c>
    </row>
    <row r="62" spans="1:75" s="748" customFormat="1" ht="12" customHeight="1">
      <c r="A62" s="442" t="s">
        <v>199</v>
      </c>
      <c r="B62" s="455" t="s">
        <v>1227</v>
      </c>
      <c r="C62" s="440" t="s">
        <v>764</v>
      </c>
      <c r="D62" s="750" t="s">
        <v>185</v>
      </c>
      <c r="E62" s="441" t="s">
        <v>590</v>
      </c>
      <c r="F62" s="440" t="s">
        <v>192</v>
      </c>
      <c r="G62" s="442" t="s">
        <v>199</v>
      </c>
      <c r="H62" s="439" t="s">
        <v>727</v>
      </c>
      <c r="I62" s="782">
        <v>0</v>
      </c>
    </row>
    <row r="63" spans="1:75" s="748" customFormat="1" ht="12" customHeight="1">
      <c r="A63" s="442" t="s">
        <v>158</v>
      </c>
      <c r="B63" s="455" t="s">
        <v>1227</v>
      </c>
      <c r="C63" s="440" t="s">
        <v>766</v>
      </c>
      <c r="D63" s="750" t="s">
        <v>185</v>
      </c>
      <c r="E63" s="441" t="s">
        <v>590</v>
      </c>
      <c r="F63" s="440" t="s">
        <v>192</v>
      </c>
      <c r="G63" s="442" t="s">
        <v>158</v>
      </c>
      <c r="H63" s="439" t="s">
        <v>727</v>
      </c>
      <c r="I63" s="782">
        <v>0</v>
      </c>
    </row>
    <row r="64" spans="1:75" s="748" customFormat="1" ht="12" customHeight="1">
      <c r="A64" s="442" t="s">
        <v>1220</v>
      </c>
      <c r="B64" s="439" t="s">
        <v>978</v>
      </c>
      <c r="C64" s="440" t="s">
        <v>762</v>
      </c>
      <c r="D64" s="750" t="s">
        <v>185</v>
      </c>
      <c r="E64" s="441" t="s">
        <v>590</v>
      </c>
      <c r="F64" s="440" t="s">
        <v>192</v>
      </c>
      <c r="G64" s="442" t="s">
        <v>1220</v>
      </c>
      <c r="H64" s="439" t="s">
        <v>727</v>
      </c>
      <c r="I64" s="781"/>
    </row>
    <row r="65" spans="1:9" s="748" customFormat="1" ht="12" customHeight="1">
      <c r="A65" s="442" t="s">
        <v>210</v>
      </c>
      <c r="B65" s="439" t="s">
        <v>79</v>
      </c>
      <c r="C65" s="440" t="s">
        <v>779</v>
      </c>
      <c r="D65" s="750" t="s">
        <v>185</v>
      </c>
      <c r="E65" s="441" t="s">
        <v>592</v>
      </c>
      <c r="F65" s="440" t="s">
        <v>822</v>
      </c>
      <c r="G65" s="442" t="s">
        <v>210</v>
      </c>
      <c r="H65" s="439" t="s">
        <v>731</v>
      </c>
      <c r="I65" s="781"/>
    </row>
    <row r="66" spans="1:9" s="748" customFormat="1" ht="12" customHeight="1">
      <c r="A66" s="754" t="s">
        <v>211</v>
      </c>
      <c r="B66" s="439" t="s">
        <v>79</v>
      </c>
      <c r="C66" s="440" t="s">
        <v>146</v>
      </c>
      <c r="D66" s="750" t="s">
        <v>185</v>
      </c>
      <c r="E66" s="441" t="s">
        <v>592</v>
      </c>
      <c r="F66" s="440" t="s">
        <v>737</v>
      </c>
      <c r="G66" s="754" t="s">
        <v>211</v>
      </c>
      <c r="H66" s="439" t="s">
        <v>729</v>
      </c>
      <c r="I66" s="781"/>
    </row>
    <row r="67" spans="1:9" s="748" customFormat="1" ht="12" customHeight="1">
      <c r="A67" s="442" t="s">
        <v>212</v>
      </c>
      <c r="B67" s="439" t="s">
        <v>79</v>
      </c>
      <c r="C67" s="440" t="s">
        <v>147</v>
      </c>
      <c r="D67" s="750" t="s">
        <v>185</v>
      </c>
      <c r="E67" s="441" t="s">
        <v>592</v>
      </c>
      <c r="F67" s="440" t="s">
        <v>192</v>
      </c>
      <c r="G67" s="442" t="s">
        <v>212</v>
      </c>
      <c r="H67" s="439" t="s">
        <v>730</v>
      </c>
      <c r="I67" s="781"/>
    </row>
    <row r="68" spans="1:9" s="748" customFormat="1" ht="12" customHeight="1">
      <c r="A68" s="160" t="s">
        <v>214</v>
      </c>
      <c r="B68" s="158" t="s">
        <v>79</v>
      </c>
      <c r="C68" s="159" t="s">
        <v>578</v>
      </c>
      <c r="D68" s="755" t="s">
        <v>213</v>
      </c>
      <c r="E68" s="444" t="s">
        <v>590</v>
      </c>
      <c r="F68" s="159" t="s">
        <v>738</v>
      </c>
      <c r="G68" s="160" t="s">
        <v>214</v>
      </c>
      <c r="H68" s="158" t="s">
        <v>215</v>
      </c>
      <c r="I68" s="781"/>
    </row>
    <row r="69" spans="1:9" s="748" customFormat="1" ht="12" customHeight="1">
      <c r="A69" s="160" t="s">
        <v>216</v>
      </c>
      <c r="B69" s="158" t="s">
        <v>79</v>
      </c>
      <c r="C69" s="159" t="s">
        <v>576</v>
      </c>
      <c r="D69" s="755" t="s">
        <v>213</v>
      </c>
      <c r="E69" s="444" t="s">
        <v>590</v>
      </c>
      <c r="F69" s="159" t="s">
        <v>738</v>
      </c>
      <c r="G69" s="160" t="s">
        <v>216</v>
      </c>
      <c r="H69" s="158" t="s">
        <v>217</v>
      </c>
      <c r="I69" s="781"/>
    </row>
    <row r="70" spans="1:9" s="748" customFormat="1" ht="12" customHeight="1">
      <c r="A70" s="160" t="s">
        <v>218</v>
      </c>
      <c r="B70" s="158" t="s">
        <v>79</v>
      </c>
      <c r="C70" s="159" t="s">
        <v>577</v>
      </c>
      <c r="D70" s="755" t="s">
        <v>213</v>
      </c>
      <c r="E70" s="444" t="s">
        <v>590</v>
      </c>
      <c r="F70" s="159" t="s">
        <v>738</v>
      </c>
      <c r="G70" s="160" t="s">
        <v>218</v>
      </c>
      <c r="H70" s="158" t="s">
        <v>219</v>
      </c>
      <c r="I70" s="781"/>
    </row>
    <row r="71" spans="1:9" s="748" customFormat="1" ht="12" customHeight="1">
      <c r="A71" s="160" t="s">
        <v>970</v>
      </c>
      <c r="B71" s="158" t="s">
        <v>79</v>
      </c>
      <c r="C71" s="159" t="s">
        <v>579</v>
      </c>
      <c r="D71" s="755" t="s">
        <v>213</v>
      </c>
      <c r="E71" s="444" t="s">
        <v>590</v>
      </c>
      <c r="F71" s="159" t="s">
        <v>738</v>
      </c>
      <c r="G71" s="160" t="s">
        <v>970</v>
      </c>
      <c r="H71" s="158" t="s">
        <v>580</v>
      </c>
      <c r="I71" s="781"/>
    </row>
    <row r="72" spans="1:9" s="748" customFormat="1" ht="12" customHeight="1">
      <c r="A72" s="160" t="s">
        <v>582</v>
      </c>
      <c r="B72" s="158" t="s">
        <v>79</v>
      </c>
      <c r="C72" s="159" t="s">
        <v>581</v>
      </c>
      <c r="D72" s="755" t="s">
        <v>213</v>
      </c>
      <c r="E72" s="444" t="s">
        <v>590</v>
      </c>
      <c r="F72" s="159" t="s">
        <v>738</v>
      </c>
      <c r="G72" s="160" t="s">
        <v>582</v>
      </c>
      <c r="H72" s="158" t="s">
        <v>583</v>
      </c>
      <c r="I72" s="781"/>
    </row>
    <row r="73" spans="1:9" ht="12" customHeight="1">
      <c r="A73" s="163" t="s">
        <v>642</v>
      </c>
      <c r="B73" s="599" t="s">
        <v>79</v>
      </c>
      <c r="C73" s="162" t="s">
        <v>643</v>
      </c>
      <c r="D73" s="756" t="s">
        <v>780</v>
      </c>
      <c r="E73" s="445" t="s">
        <v>590</v>
      </c>
      <c r="F73" s="162" t="s">
        <v>822</v>
      </c>
      <c r="G73" s="163" t="s">
        <v>642</v>
      </c>
      <c r="H73" s="161" t="s">
        <v>618</v>
      </c>
      <c r="I73" s="781"/>
    </row>
    <row r="74" spans="1:9" s="748" customFormat="1" ht="12" customHeight="1">
      <c r="A74" s="166" t="s">
        <v>221</v>
      </c>
      <c r="B74" s="164" t="s">
        <v>550</v>
      </c>
      <c r="C74" s="165" t="s">
        <v>747</v>
      </c>
      <c r="D74" s="757" t="s">
        <v>714</v>
      </c>
      <c r="E74" s="446" t="s">
        <v>590</v>
      </c>
      <c r="F74" s="165" t="s">
        <v>550</v>
      </c>
      <c r="G74" s="166" t="s">
        <v>221</v>
      </c>
      <c r="H74" s="164" t="s">
        <v>475</v>
      </c>
      <c r="I74" s="781"/>
    </row>
    <row r="75" spans="1:9" s="748" customFormat="1" ht="12" customHeight="1">
      <c r="A75" s="166" t="s">
        <v>222</v>
      </c>
      <c r="B75" s="164" t="s">
        <v>550</v>
      </c>
      <c r="C75" s="165" t="s">
        <v>748</v>
      </c>
      <c r="D75" s="757" t="s">
        <v>714</v>
      </c>
      <c r="E75" s="446" t="s">
        <v>590</v>
      </c>
      <c r="F75" s="165" t="s">
        <v>550</v>
      </c>
      <c r="G75" s="166" t="s">
        <v>222</v>
      </c>
      <c r="H75" s="164" t="s">
        <v>475</v>
      </c>
      <c r="I75" s="781"/>
    </row>
    <row r="76" spans="1:9" s="748" customFormat="1" ht="12" customHeight="1">
      <c r="A76" s="166" t="s">
        <v>223</v>
      </c>
      <c r="B76" s="164" t="s">
        <v>550</v>
      </c>
      <c r="C76" s="165" t="s">
        <v>749</v>
      </c>
      <c r="D76" s="757" t="s">
        <v>714</v>
      </c>
      <c r="E76" s="446" t="s">
        <v>590</v>
      </c>
      <c r="F76" s="165" t="s">
        <v>550</v>
      </c>
      <c r="G76" s="166" t="s">
        <v>223</v>
      </c>
      <c r="H76" s="164" t="s">
        <v>475</v>
      </c>
      <c r="I76" s="781"/>
    </row>
    <row r="77" spans="1:9" s="748" customFormat="1" ht="12" customHeight="1">
      <c r="A77" s="169" t="s">
        <v>225</v>
      </c>
      <c r="B77" s="167" t="s">
        <v>79</v>
      </c>
      <c r="C77" s="168" t="s">
        <v>644</v>
      </c>
      <c r="D77" s="758" t="s">
        <v>224</v>
      </c>
      <c r="E77" s="222" t="s">
        <v>84</v>
      </c>
      <c r="F77" s="430" t="s">
        <v>787</v>
      </c>
      <c r="G77" s="169" t="s">
        <v>225</v>
      </c>
      <c r="H77" s="167" t="s">
        <v>716</v>
      </c>
      <c r="I77" s="781"/>
    </row>
    <row r="78" spans="1:9" ht="12" customHeight="1">
      <c r="A78" s="172" t="s">
        <v>972</v>
      </c>
      <c r="B78" s="170" t="s">
        <v>79</v>
      </c>
      <c r="C78" s="171" t="s">
        <v>782</v>
      </c>
      <c r="D78" s="759" t="s">
        <v>226</v>
      </c>
      <c r="E78" s="447" t="s">
        <v>592</v>
      </c>
      <c r="F78" s="171" t="s">
        <v>712</v>
      </c>
      <c r="G78" s="172" t="s">
        <v>972</v>
      </c>
      <c r="H78" s="170" t="s">
        <v>366</v>
      </c>
      <c r="I78" s="781"/>
    </row>
    <row r="79" spans="1:9" ht="12" customHeight="1">
      <c r="A79" s="172" t="s">
        <v>646</v>
      </c>
      <c r="B79" s="170" t="s">
        <v>79</v>
      </c>
      <c r="C79" s="171" t="s">
        <v>645</v>
      </c>
      <c r="D79" s="759" t="s">
        <v>226</v>
      </c>
      <c r="E79" s="447" t="s">
        <v>84</v>
      </c>
      <c r="F79" s="171" t="s">
        <v>184</v>
      </c>
      <c r="G79" s="172" t="s">
        <v>646</v>
      </c>
      <c r="H79" s="170" t="s">
        <v>783</v>
      </c>
      <c r="I79" s="781"/>
    </row>
    <row r="80" spans="1:9" s="748" customFormat="1" ht="12" customHeight="1">
      <c r="A80" s="226" t="s">
        <v>176</v>
      </c>
      <c r="B80" s="448" t="s">
        <v>227</v>
      </c>
      <c r="C80" s="173" t="s">
        <v>973</v>
      </c>
      <c r="D80" s="760" t="s">
        <v>228</v>
      </c>
      <c r="E80" s="449" t="s">
        <v>590</v>
      </c>
      <c r="F80" s="433" t="s">
        <v>737</v>
      </c>
      <c r="G80" s="226" t="s">
        <v>176</v>
      </c>
      <c r="H80" s="175" t="s">
        <v>237</v>
      </c>
      <c r="I80" s="781"/>
    </row>
    <row r="81" spans="1:9" s="748" customFormat="1" ht="12" customHeight="1">
      <c r="A81" s="454"/>
      <c r="B81" s="450"/>
      <c r="C81" s="451"/>
      <c r="D81" s="761"/>
      <c r="E81" s="452"/>
      <c r="F81" s="453"/>
      <c r="G81" s="454"/>
      <c r="H81" s="455"/>
      <c r="I81" s="782">
        <v>0</v>
      </c>
    </row>
    <row r="82" spans="1:9" ht="12.75" thickBot="1">
      <c r="A82" s="766"/>
      <c r="B82" s="762"/>
      <c r="C82" s="763" t="s">
        <v>282</v>
      </c>
      <c r="D82" s="764"/>
      <c r="E82" s="765"/>
      <c r="F82" s="763"/>
      <c r="G82" s="766"/>
      <c r="H82" s="763"/>
      <c r="I82" s="767">
        <f>SUM(I3:I80)</f>
        <v>0</v>
      </c>
    </row>
    <row r="83" spans="1:9" ht="15.6" customHeight="1"/>
  </sheetData>
  <pageMargins left="0.15748031496062992" right="0.19685039370078741" top="0.47244094488188981" bottom="0.78740157480314965" header="0.23622047244094491" footer="0.15748031496062992"/>
  <pageSetup paperSize="8" scale="70" orientation="landscape"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8"/>
    <pageSetUpPr fitToPage="1"/>
  </sheetPr>
  <dimension ref="A1:M44"/>
  <sheetViews>
    <sheetView workbookViewId="0"/>
  </sheetViews>
  <sheetFormatPr defaultRowHeight="12.75"/>
  <cols>
    <col min="1" max="1" width="2.140625" style="648" customWidth="1"/>
    <col min="2" max="2" width="21.85546875" customWidth="1"/>
    <col min="3" max="5" width="9.7109375" customWidth="1"/>
    <col min="6" max="6" width="9.7109375" style="8" customWidth="1"/>
    <col min="7" max="7" width="9.7109375" customWidth="1"/>
    <col min="8" max="8" width="8.28515625" style="657" customWidth="1"/>
    <col min="9" max="13" width="11.28515625" style="10" bestFit="1" customWidth="1"/>
  </cols>
  <sheetData>
    <row r="1" spans="1:8" ht="18">
      <c r="A1" s="650" t="s">
        <v>66</v>
      </c>
      <c r="B1" s="646"/>
      <c r="C1" s="61"/>
      <c r="D1" s="61"/>
      <c r="E1" s="61"/>
      <c r="F1" s="181"/>
      <c r="G1" s="61"/>
      <c r="H1" s="652"/>
    </row>
    <row r="2" spans="1:8">
      <c r="A2" s="61"/>
      <c r="B2" s="61"/>
      <c r="C2" s="61"/>
      <c r="D2" s="61"/>
      <c r="E2" s="61"/>
      <c r="F2" s="181"/>
      <c r="G2" s="61"/>
      <c r="H2" s="652"/>
    </row>
    <row r="3" spans="1:8">
      <c r="A3" s="649" t="s">
        <v>57</v>
      </c>
      <c r="B3" s="647"/>
      <c r="C3" s="61"/>
      <c r="D3" s="61"/>
      <c r="E3" s="61"/>
      <c r="F3" s="187"/>
      <c r="G3" s="61"/>
      <c r="H3" s="187"/>
    </row>
    <row r="4" spans="1:8">
      <c r="A4" s="61" t="s">
        <v>62</v>
      </c>
      <c r="B4" s="61"/>
      <c r="C4" s="61"/>
      <c r="D4" s="61"/>
      <c r="E4" s="61"/>
      <c r="F4" s="187"/>
      <c r="G4" s="61"/>
      <c r="H4" s="653">
        <f>1-social</f>
        <v>0.95</v>
      </c>
    </row>
    <row r="5" spans="1:8" ht="5.45" customHeight="1">
      <c r="A5" s="61"/>
      <c r="B5" s="61"/>
      <c r="C5" s="61"/>
      <c r="D5" s="61"/>
      <c r="E5" s="61"/>
      <c r="F5" s="187"/>
      <c r="G5" s="61"/>
      <c r="H5" s="187"/>
    </row>
    <row r="6" spans="1:8">
      <c r="A6" s="61" t="s">
        <v>67</v>
      </c>
      <c r="B6" s="61"/>
      <c r="C6" s="61"/>
      <c r="D6" s="61"/>
      <c r="E6" s="61"/>
      <c r="F6" s="181"/>
      <c r="G6" s="61"/>
      <c r="H6" s="652"/>
    </row>
    <row r="7" spans="1:8">
      <c r="A7" s="61"/>
      <c r="B7" s="91" t="s">
        <v>700</v>
      </c>
      <c r="C7" s="61"/>
      <c r="D7" s="61"/>
      <c r="E7" s="61"/>
      <c r="F7" s="181"/>
      <c r="G7" s="654">
        <v>0.1</v>
      </c>
      <c r="H7" s="181"/>
    </row>
    <row r="8" spans="1:8">
      <c r="A8" s="61"/>
      <c r="B8" s="91" t="s">
        <v>698</v>
      </c>
      <c r="C8" s="61"/>
      <c r="D8" s="61"/>
      <c r="E8" s="61"/>
      <c r="F8" s="181"/>
      <c r="G8" s="654">
        <v>0.5</v>
      </c>
      <c r="H8" s="181"/>
    </row>
    <row r="9" spans="1:8">
      <c r="A9" s="61"/>
      <c r="B9" s="91" t="s">
        <v>699</v>
      </c>
      <c r="C9" s="61"/>
      <c r="D9" s="61"/>
      <c r="E9" s="61"/>
      <c r="F9" s="181"/>
      <c r="G9" s="654">
        <v>0.5</v>
      </c>
      <c r="H9" s="181"/>
    </row>
    <row r="10" spans="1:8">
      <c r="A10" s="61"/>
      <c r="B10" s="91" t="s">
        <v>275</v>
      </c>
      <c r="C10" s="61"/>
      <c r="D10" s="61"/>
      <c r="E10" s="61"/>
      <c r="F10" s="181"/>
      <c r="G10" s="654">
        <v>0.5</v>
      </c>
      <c r="H10" s="181"/>
    </row>
    <row r="11" spans="1:8">
      <c r="A11" s="61"/>
      <c r="B11" s="91" t="s">
        <v>701</v>
      </c>
      <c r="C11" s="61"/>
      <c r="D11" s="61"/>
      <c r="E11" s="61"/>
      <c r="F11" s="181"/>
      <c r="G11" s="654">
        <v>0.5</v>
      </c>
      <c r="H11" s="181"/>
    </row>
    <row r="12" spans="1:8">
      <c r="A12" s="61"/>
      <c r="B12" s="91" t="s">
        <v>702</v>
      </c>
      <c r="C12" s="61"/>
      <c r="D12" s="61"/>
      <c r="E12" s="61"/>
      <c r="F12" s="181"/>
      <c r="G12" s="654">
        <v>0.5</v>
      </c>
      <c r="H12" s="181"/>
    </row>
    <row r="13" spans="1:8">
      <c r="A13" s="61"/>
      <c r="B13" s="91" t="s">
        <v>276</v>
      </c>
      <c r="C13" s="61"/>
      <c r="D13" s="61"/>
      <c r="E13" s="61"/>
      <c r="F13" s="181"/>
      <c r="G13" s="654">
        <v>0.5</v>
      </c>
      <c r="H13" s="181"/>
    </row>
    <row r="14" spans="1:8">
      <c r="A14" s="61"/>
      <c r="B14" s="91" t="s">
        <v>277</v>
      </c>
      <c r="C14" s="61"/>
      <c r="D14" s="61"/>
      <c r="E14" s="61"/>
      <c r="F14" s="181"/>
      <c r="G14" s="654">
        <v>0.5</v>
      </c>
      <c r="H14" s="181"/>
    </row>
    <row r="15" spans="1:8" ht="5.45" customHeight="1">
      <c r="A15" s="61"/>
      <c r="B15" s="61"/>
      <c r="C15" s="61"/>
      <c r="D15" s="61"/>
      <c r="E15" s="61"/>
      <c r="F15" s="179"/>
      <c r="G15" s="61"/>
      <c r="H15" s="652"/>
    </row>
    <row r="16" spans="1:8">
      <c r="A16" s="61" t="s">
        <v>60</v>
      </c>
      <c r="B16" s="61"/>
      <c r="C16" s="61"/>
      <c r="D16" s="61"/>
      <c r="E16" s="61"/>
      <c r="F16" s="179"/>
      <c r="G16" s="61"/>
      <c r="H16" s="654">
        <v>0.22</v>
      </c>
    </row>
    <row r="17" spans="1:13">
      <c r="A17" s="61" t="s">
        <v>58</v>
      </c>
      <c r="B17" s="61"/>
      <c r="C17" s="61"/>
      <c r="D17" s="61"/>
      <c r="E17" s="61"/>
      <c r="F17" s="179"/>
      <c r="G17" s="61"/>
      <c r="H17" s="654">
        <v>0.5</v>
      </c>
    </row>
    <row r="18" spans="1:13">
      <c r="A18" s="61" t="s">
        <v>59</v>
      </c>
      <c r="B18" s="61"/>
      <c r="C18" s="61"/>
      <c r="D18" s="61"/>
      <c r="E18" s="61"/>
      <c r="F18" s="179"/>
      <c r="G18" s="61"/>
      <c r="H18" s="654">
        <v>0.5</v>
      </c>
    </row>
    <row r="19" spans="1:13">
      <c r="A19" s="61" t="s">
        <v>69</v>
      </c>
      <c r="B19" s="61"/>
      <c r="C19" s="61"/>
      <c r="D19" s="61"/>
      <c r="E19" s="61"/>
      <c r="F19" s="179"/>
      <c r="G19" s="61"/>
      <c r="H19" s="654">
        <v>0.1</v>
      </c>
    </row>
    <row r="20" spans="1:13">
      <c r="A20" s="61" t="s">
        <v>70</v>
      </c>
      <c r="B20" s="61"/>
      <c r="C20" s="61"/>
      <c r="D20" s="61"/>
      <c r="E20" s="61"/>
      <c r="F20" s="181"/>
      <c r="G20" s="61"/>
      <c r="H20" s="654">
        <v>0.5</v>
      </c>
    </row>
    <row r="21" spans="1:13">
      <c r="A21" s="61" t="s">
        <v>64</v>
      </c>
      <c r="B21" s="61"/>
      <c r="C21" s="61"/>
      <c r="D21" s="61"/>
      <c r="E21" s="61"/>
      <c r="F21" s="179"/>
      <c r="G21" s="61"/>
      <c r="H21" s="654">
        <v>0.75</v>
      </c>
    </row>
    <row r="22" spans="1:13">
      <c r="A22" s="61"/>
      <c r="B22" s="61"/>
      <c r="C22" s="61"/>
      <c r="D22" s="61"/>
      <c r="E22" s="61"/>
      <c r="F22" s="181"/>
      <c r="G22" s="61"/>
      <c r="H22" s="652"/>
    </row>
    <row r="23" spans="1:13">
      <c r="A23" s="649" t="s">
        <v>818</v>
      </c>
      <c r="B23" s="647"/>
      <c r="C23" s="61"/>
      <c r="D23" s="61"/>
      <c r="E23" s="61"/>
      <c r="F23" s="181"/>
      <c r="G23" s="61"/>
      <c r="H23" s="652"/>
    </row>
    <row r="24" spans="1:13">
      <c r="A24" s="61" t="s">
        <v>61</v>
      </c>
      <c r="B24" s="61"/>
      <c r="C24" s="61"/>
      <c r="D24" s="61"/>
      <c r="E24" s="61"/>
      <c r="F24" s="179"/>
      <c r="G24" s="61"/>
      <c r="H24" s="655">
        <v>0.05</v>
      </c>
    </row>
    <row r="25" spans="1:13" ht="6.6" customHeight="1">
      <c r="A25" s="61"/>
      <c r="B25" s="61"/>
      <c r="C25" s="61"/>
      <c r="D25" s="61"/>
      <c r="E25" s="61"/>
      <c r="F25" s="179"/>
      <c r="G25" s="61"/>
      <c r="H25" s="187"/>
    </row>
    <row r="26" spans="1:13">
      <c r="A26" s="61" t="s">
        <v>63</v>
      </c>
      <c r="B26" s="61"/>
      <c r="C26" s="61"/>
      <c r="D26" s="61"/>
      <c r="E26" s="61"/>
      <c r="F26" s="179"/>
      <c r="G26" s="61"/>
      <c r="H26" s="654">
        <v>0.25</v>
      </c>
    </row>
    <row r="27" spans="1:13">
      <c r="A27" s="61" t="s">
        <v>65</v>
      </c>
      <c r="B27" s="61"/>
      <c r="C27" s="61"/>
      <c r="D27" s="61"/>
      <c r="E27" s="61"/>
      <c r="F27" s="179"/>
      <c r="G27" s="61"/>
      <c r="H27" s="654">
        <v>0.7</v>
      </c>
    </row>
    <row r="28" spans="1:13">
      <c r="A28" s="61" t="s">
        <v>64</v>
      </c>
      <c r="B28" s="61"/>
      <c r="C28" s="61"/>
      <c r="D28" s="61"/>
      <c r="E28" s="61"/>
      <c r="F28" s="179"/>
      <c r="G28" s="61"/>
      <c r="H28" s="654">
        <v>0.75</v>
      </c>
    </row>
    <row r="29" spans="1:13">
      <c r="A29" s="61"/>
      <c r="B29" s="35"/>
      <c r="C29" s="35"/>
      <c r="D29" s="35"/>
      <c r="E29" s="35"/>
      <c r="F29" s="182"/>
      <c r="G29" s="35"/>
      <c r="H29" s="656"/>
    </row>
    <row r="30" spans="1:13">
      <c r="A30" s="61"/>
      <c r="B30" s="35"/>
      <c r="C30" s="35"/>
      <c r="D30" s="35"/>
      <c r="E30" s="35"/>
      <c r="F30" s="182"/>
      <c r="G30" s="35"/>
      <c r="H30" s="656"/>
    </row>
    <row r="31" spans="1:13" ht="18">
      <c r="A31" s="650" t="s">
        <v>68</v>
      </c>
      <c r="B31" s="646"/>
      <c r="C31" s="178"/>
      <c r="D31" s="178"/>
      <c r="E31" s="178"/>
      <c r="F31" s="179"/>
      <c r="G31" s="178"/>
      <c r="H31" s="179"/>
    </row>
    <row r="32" spans="1:13" s="4" customFormat="1">
      <c r="A32" s="61" t="s">
        <v>64</v>
      </c>
      <c r="B32" s="180"/>
      <c r="C32" s="180"/>
      <c r="D32" s="180"/>
      <c r="E32" s="180"/>
      <c r="F32" s="179"/>
      <c r="G32" s="180"/>
      <c r="H32" s="654">
        <v>0.5</v>
      </c>
      <c r="I32" s="13"/>
      <c r="J32" s="13"/>
      <c r="K32" s="13"/>
      <c r="L32" s="13"/>
      <c r="M32" s="13"/>
    </row>
    <row r="33" spans="1:8">
      <c r="A33" s="61"/>
      <c r="B33" s="35"/>
      <c r="C33" s="35"/>
      <c r="D33" s="35"/>
      <c r="E33" s="35"/>
      <c r="F33" s="182"/>
      <c r="G33" s="35"/>
      <c r="H33" s="656"/>
    </row>
    <row r="34" spans="1:8" ht="13.15" customHeight="1">
      <c r="A34" s="91" t="s">
        <v>742</v>
      </c>
      <c r="B34" s="61"/>
      <c r="C34" s="180"/>
      <c r="D34" s="180"/>
      <c r="E34" s="822" t="s">
        <v>1152</v>
      </c>
      <c r="F34" s="819"/>
      <c r="G34" s="818" t="s">
        <v>743</v>
      </c>
      <c r="H34" s="819"/>
    </row>
    <row r="35" spans="1:8">
      <c r="B35" s="35"/>
      <c r="C35" s="180"/>
      <c r="D35" s="180"/>
      <c r="E35" s="820">
        <v>2006</v>
      </c>
      <c r="F35" s="821"/>
      <c r="G35" s="820">
        <v>2013</v>
      </c>
      <c r="H35" s="821"/>
    </row>
    <row r="36" spans="1:8">
      <c r="A36" s="91" t="s">
        <v>799</v>
      </c>
      <c r="B36" s="91"/>
      <c r="C36" s="180"/>
      <c r="D36" s="180"/>
      <c r="E36" s="183">
        <v>188500</v>
      </c>
      <c r="F36" s="184">
        <f t="shared" ref="F36:F43" si="0">E36/$G$44</f>
        <v>0.39994992669352802</v>
      </c>
      <c r="G36" s="660">
        <v>190956</v>
      </c>
      <c r="H36" s="658">
        <f t="shared" ref="H36:H43" si="1">G36/$G$44</f>
        <v>0.40516094536705216</v>
      </c>
    </row>
    <row r="37" spans="1:8">
      <c r="A37" s="91" t="s">
        <v>370</v>
      </c>
      <c r="B37" s="91"/>
      <c r="C37" s="180"/>
      <c r="D37" s="180"/>
      <c r="E37" s="183">
        <v>100400</v>
      </c>
      <c r="F37" s="184">
        <f t="shared" si="0"/>
        <v>0.21302372753331678</v>
      </c>
      <c r="G37" s="660">
        <v>98238</v>
      </c>
      <c r="H37" s="658">
        <f t="shared" si="1"/>
        <v>0.20843650344041806</v>
      </c>
    </row>
    <row r="38" spans="1:8">
      <c r="A38" s="91" t="s">
        <v>805</v>
      </c>
      <c r="B38" s="91"/>
      <c r="C38" s="180"/>
      <c r="D38" s="180"/>
      <c r="E38" s="183">
        <v>38000</v>
      </c>
      <c r="F38" s="184">
        <f t="shared" si="0"/>
        <v>8.0626510420976474E-2</v>
      </c>
      <c r="G38" s="660">
        <v>40179</v>
      </c>
      <c r="H38" s="658">
        <f t="shared" si="1"/>
        <v>8.5249804268537205E-2</v>
      </c>
    </row>
    <row r="39" spans="1:8">
      <c r="A39" s="91" t="s">
        <v>369</v>
      </c>
      <c r="B39" s="91"/>
      <c r="C39" s="180"/>
      <c r="D39" s="180"/>
      <c r="E39" s="183">
        <v>50700</v>
      </c>
      <c r="F39" s="184">
        <f t="shared" si="0"/>
        <v>0.1075727389037765</v>
      </c>
      <c r="G39" s="660">
        <v>51717</v>
      </c>
      <c r="H39" s="658">
        <f t="shared" si="1"/>
        <v>0.10973055893267475</v>
      </c>
    </row>
    <row r="40" spans="1:8">
      <c r="A40" s="91" t="s">
        <v>807</v>
      </c>
      <c r="B40" s="91"/>
      <c r="C40" s="180"/>
      <c r="D40" s="180"/>
      <c r="E40" s="183">
        <v>47800</v>
      </c>
      <c r="F40" s="184">
        <f t="shared" si="0"/>
        <v>0.10141966310849146</v>
      </c>
      <c r="G40" s="660">
        <v>49104</v>
      </c>
      <c r="H40" s="658">
        <f t="shared" si="1"/>
        <v>0.10418642546609549</v>
      </c>
    </row>
    <row r="41" spans="1:8">
      <c r="A41" s="91" t="s">
        <v>810</v>
      </c>
      <c r="B41" s="91"/>
      <c r="C41" s="180"/>
      <c r="D41" s="180"/>
      <c r="E41" s="183">
        <v>23200</v>
      </c>
      <c r="F41" s="184">
        <f t="shared" si="0"/>
        <v>4.922460636228037E-2</v>
      </c>
      <c r="G41" s="660">
        <v>23352</v>
      </c>
      <c r="H41" s="658">
        <f t="shared" si="1"/>
        <v>4.9547112403964276E-2</v>
      </c>
    </row>
    <row r="42" spans="1:8">
      <c r="A42" s="91" t="s">
        <v>813</v>
      </c>
      <c r="B42" s="91"/>
      <c r="C42" s="180"/>
      <c r="D42" s="180"/>
      <c r="E42" s="183">
        <v>7210</v>
      </c>
      <c r="F42" s="184">
        <f t="shared" si="0"/>
        <v>1.5297819477243168E-2</v>
      </c>
      <c r="G42" s="660">
        <v>8235</v>
      </c>
      <c r="H42" s="658">
        <f t="shared" si="1"/>
        <v>1.7472613508335295E-2</v>
      </c>
    </row>
    <row r="43" spans="1:8">
      <c r="A43" s="91" t="s">
        <v>814</v>
      </c>
      <c r="B43" s="91"/>
      <c r="C43" s="180"/>
      <c r="D43" s="180"/>
      <c r="E43" s="183">
        <v>8810</v>
      </c>
      <c r="F43" s="184">
        <f t="shared" si="0"/>
        <v>1.8692619916021124E-2</v>
      </c>
      <c r="G43" s="660">
        <v>9528</v>
      </c>
      <c r="H43" s="658">
        <f t="shared" si="1"/>
        <v>2.0216036612922733E-2</v>
      </c>
    </row>
    <row r="44" spans="1:8">
      <c r="A44" s="91" t="s">
        <v>371</v>
      </c>
      <c r="B44" s="91"/>
      <c r="C44" s="180"/>
      <c r="D44" s="180"/>
      <c r="E44" s="186">
        <f t="shared" ref="E44:H44" si="2">SUM(E36:E43)</f>
        <v>464620</v>
      </c>
      <c r="F44" s="185">
        <f t="shared" si="2"/>
        <v>0.98580761241563386</v>
      </c>
      <c r="G44" s="661">
        <f t="shared" si="2"/>
        <v>471309</v>
      </c>
      <c r="H44" s="659">
        <f t="shared" si="2"/>
        <v>0.99999999999999989</v>
      </c>
    </row>
  </sheetData>
  <mergeCells count="4">
    <mergeCell ref="G34:H34"/>
    <mergeCell ref="G35:H35"/>
    <mergeCell ref="E34:F34"/>
    <mergeCell ref="E35:F35"/>
  </mergeCells>
  <phoneticPr fontId="4" type="noConversion"/>
  <pageMargins left="0.36" right="0.37" top="0.5" bottom="0.6" header="0.15748031496062992" footer="0.24"/>
  <pageSetup paperSize="9" orientation="portrait" r:id="rId1"/>
  <headerFooter alignWithMargins="0">
    <oddFooter>&amp;L&amp;BGreater Wellington Confidential&amp;B&amp;C&amp;D&amp;RPage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8"/>
    <pageSetUpPr fitToPage="1"/>
  </sheetPr>
  <dimension ref="A1:M27"/>
  <sheetViews>
    <sheetView workbookViewId="0">
      <pane xSplit="1" ySplit="3" topLeftCell="B7" activePane="bottomRight" state="frozen"/>
      <selection activeCell="A18" sqref="A18:B19"/>
      <selection pane="topRight" activeCell="A18" sqref="A18:B19"/>
      <selection pane="bottomLeft" activeCell="A18" sqref="A18:B19"/>
      <selection pane="bottomRight" activeCell="J26" sqref="J26"/>
    </sheetView>
  </sheetViews>
  <sheetFormatPr defaultRowHeight="12.75" outlineLevelRow="1" outlineLevelCol="1"/>
  <cols>
    <col min="1" max="1" width="31.5703125" customWidth="1"/>
    <col min="2" max="2" width="9.28515625" customWidth="1" outlineLevel="1"/>
    <col min="3" max="3" width="9.28515625" style="648" customWidth="1" outlineLevel="1"/>
    <col min="4" max="4" width="9.28515625" customWidth="1" outlineLevel="1"/>
    <col min="5" max="10" width="9.28515625" style="2" customWidth="1"/>
    <col min="11" max="11" width="10.7109375" customWidth="1"/>
    <col min="12" max="13" width="9.42578125" customWidth="1"/>
  </cols>
  <sheetData>
    <row r="1" spans="1:13" ht="18">
      <c r="A1" s="188" t="s">
        <v>42</v>
      </c>
      <c r="B1" s="35"/>
      <c r="C1" s="61"/>
      <c r="D1" s="35"/>
      <c r="E1" s="36"/>
      <c r="F1" s="36"/>
      <c r="G1" s="36"/>
      <c r="H1" s="36"/>
      <c r="I1" s="36"/>
      <c r="J1" s="36"/>
      <c r="K1" s="35"/>
      <c r="L1" s="35"/>
      <c r="M1" s="35"/>
    </row>
    <row r="2" spans="1:13" ht="27" customHeight="1">
      <c r="A2" s="188"/>
      <c r="B2" s="613"/>
      <c r="C2" s="723" t="s">
        <v>735</v>
      </c>
      <c r="D2" s="613"/>
      <c r="E2" s="614"/>
      <c r="F2" s="614"/>
      <c r="G2" s="614"/>
      <c r="H2" s="614"/>
      <c r="I2" s="614"/>
      <c r="J2" s="615"/>
      <c r="K2" s="35"/>
      <c r="L2" s="35"/>
      <c r="M2" s="35"/>
    </row>
    <row r="3" spans="1:13" ht="62.45" customHeight="1">
      <c r="A3" s="616" t="s">
        <v>736</v>
      </c>
      <c r="B3" s="622" t="s">
        <v>704</v>
      </c>
      <c r="C3" s="622" t="s">
        <v>703</v>
      </c>
      <c r="D3" s="623" t="s">
        <v>786</v>
      </c>
      <c r="E3" s="608" t="s">
        <v>744</v>
      </c>
      <c r="F3" s="608" t="s">
        <v>32</v>
      </c>
      <c r="G3" s="608" t="s">
        <v>33</v>
      </c>
      <c r="H3" s="608" t="s">
        <v>34</v>
      </c>
      <c r="I3" s="608" t="s">
        <v>31</v>
      </c>
      <c r="J3" s="608" t="s">
        <v>35</v>
      </c>
      <c r="K3" s="628" t="s">
        <v>41</v>
      </c>
      <c r="L3" s="628" t="s">
        <v>745</v>
      </c>
      <c r="M3" s="628" t="s">
        <v>746</v>
      </c>
    </row>
    <row r="4" spans="1:13" s="648" customFormat="1" outlineLevel="1">
      <c r="A4" s="624" t="s">
        <v>704</v>
      </c>
      <c r="B4" s="721">
        <v>8004</v>
      </c>
      <c r="C4" s="722">
        <v>789</v>
      </c>
      <c r="D4" s="619">
        <v>243</v>
      </c>
      <c r="E4" s="722">
        <f>SUM(B4:D4)</f>
        <v>9036</v>
      </c>
      <c r="F4" s="722">
        <v>12</v>
      </c>
      <c r="G4" s="722">
        <v>18</v>
      </c>
      <c r="H4" s="722">
        <v>30</v>
      </c>
      <c r="I4" s="722">
        <v>99</v>
      </c>
      <c r="J4" s="722">
        <v>315</v>
      </c>
      <c r="K4" s="629">
        <f t="shared" ref="K4:K12" si="0">J4+H4+G4+F4+I4+E4</f>
        <v>9510</v>
      </c>
      <c r="L4" s="631">
        <f>+K4-E4</f>
        <v>474</v>
      </c>
      <c r="M4" s="631">
        <f>+B13-B7</f>
        <v>162</v>
      </c>
    </row>
    <row r="5" spans="1:13" outlineLevel="1">
      <c r="A5" s="624" t="s">
        <v>703</v>
      </c>
      <c r="B5" s="610">
        <v>999</v>
      </c>
      <c r="C5" s="721">
        <v>1857</v>
      </c>
      <c r="D5" s="619">
        <v>294</v>
      </c>
      <c r="E5" s="610">
        <f t="shared" ref="E5:E12" si="1">SUM(B5:D5)</f>
        <v>3150</v>
      </c>
      <c r="F5" s="610">
        <v>6</v>
      </c>
      <c r="G5" s="610">
        <v>15</v>
      </c>
      <c r="H5" s="610">
        <v>78</v>
      </c>
      <c r="I5" s="610">
        <v>102</v>
      </c>
      <c r="J5" s="610">
        <v>294</v>
      </c>
      <c r="K5" s="629">
        <f t="shared" si="0"/>
        <v>3645</v>
      </c>
      <c r="L5" s="631">
        <f>+K5-E5</f>
        <v>495</v>
      </c>
      <c r="M5" s="631">
        <f>+C13-C7</f>
        <v>42</v>
      </c>
    </row>
    <row r="6" spans="1:13" outlineLevel="1">
      <c r="A6" s="625" t="s">
        <v>786</v>
      </c>
      <c r="B6" s="611">
        <v>375</v>
      </c>
      <c r="C6" s="611">
        <v>210</v>
      </c>
      <c r="D6" s="620">
        <v>2751</v>
      </c>
      <c r="E6" s="611">
        <f t="shared" si="1"/>
        <v>3336</v>
      </c>
      <c r="F6" s="611">
        <v>0</v>
      </c>
      <c r="G6" s="611">
        <v>12</v>
      </c>
      <c r="H6" s="611">
        <v>114</v>
      </c>
      <c r="I6" s="611">
        <v>156</v>
      </c>
      <c r="J6" s="611">
        <v>645</v>
      </c>
      <c r="K6" s="630">
        <f t="shared" si="0"/>
        <v>4263</v>
      </c>
      <c r="L6" s="632">
        <f>+K6-E6</f>
        <v>927</v>
      </c>
      <c r="M6" s="632">
        <f>+D13-D7</f>
        <v>135</v>
      </c>
    </row>
    <row r="7" spans="1:13">
      <c r="A7" s="617" t="s">
        <v>744</v>
      </c>
      <c r="B7" s="610">
        <f>SUM(B4:B6)</f>
        <v>9378</v>
      </c>
      <c r="C7" s="722">
        <f t="shared" ref="C7:J7" si="2">SUM(C4:C6)</f>
        <v>2856</v>
      </c>
      <c r="D7" s="619">
        <f t="shared" si="2"/>
        <v>3288</v>
      </c>
      <c r="E7" s="609">
        <f t="shared" si="1"/>
        <v>15522</v>
      </c>
      <c r="F7" s="610">
        <f t="shared" si="2"/>
        <v>18</v>
      </c>
      <c r="G7" s="610">
        <f t="shared" si="2"/>
        <v>45</v>
      </c>
      <c r="H7" s="610">
        <f>SUM(H4:H6)</f>
        <v>222</v>
      </c>
      <c r="I7" s="610">
        <f t="shared" si="2"/>
        <v>357</v>
      </c>
      <c r="J7" s="610">
        <f t="shared" si="2"/>
        <v>1254</v>
      </c>
      <c r="K7" s="629">
        <f t="shared" si="0"/>
        <v>17418</v>
      </c>
      <c r="L7" s="631">
        <f>+K7-E7</f>
        <v>1896</v>
      </c>
      <c r="M7" s="631">
        <f>+E13-E7</f>
        <v>339</v>
      </c>
    </row>
    <row r="8" spans="1:13">
      <c r="A8" s="617" t="s">
        <v>32</v>
      </c>
      <c r="B8" s="612">
        <v>9</v>
      </c>
      <c r="C8" s="724">
        <v>3</v>
      </c>
      <c r="D8" s="621">
        <v>3</v>
      </c>
      <c r="E8" s="610">
        <f t="shared" si="1"/>
        <v>15</v>
      </c>
      <c r="F8" s="609">
        <v>11388</v>
      </c>
      <c r="G8" s="610">
        <v>1155</v>
      </c>
      <c r="H8" s="610">
        <v>135</v>
      </c>
      <c r="I8" s="610">
        <v>801</v>
      </c>
      <c r="J8" s="610">
        <v>4698</v>
      </c>
      <c r="K8" s="629">
        <f t="shared" si="0"/>
        <v>18192</v>
      </c>
      <c r="L8" s="631">
        <f>+K8-F8</f>
        <v>6804</v>
      </c>
      <c r="M8" s="631">
        <f>+F13-F8</f>
        <v>756</v>
      </c>
    </row>
    <row r="9" spans="1:13">
      <c r="A9" s="617" t="s">
        <v>33</v>
      </c>
      <c r="B9" s="612">
        <v>12</v>
      </c>
      <c r="C9" s="724">
        <v>0</v>
      </c>
      <c r="D9" s="621">
        <v>9</v>
      </c>
      <c r="E9" s="610">
        <f t="shared" si="1"/>
        <v>21</v>
      </c>
      <c r="F9" s="610">
        <v>312</v>
      </c>
      <c r="G9" s="609">
        <v>8658</v>
      </c>
      <c r="H9" s="610">
        <v>321</v>
      </c>
      <c r="I9" s="610">
        <v>1608</v>
      </c>
      <c r="J9" s="610">
        <v>9612</v>
      </c>
      <c r="K9" s="629">
        <f t="shared" si="0"/>
        <v>20532</v>
      </c>
      <c r="L9" s="631">
        <f>+K9-G9</f>
        <v>11874</v>
      </c>
      <c r="M9" s="631">
        <f>+G13-G9</f>
        <v>5127</v>
      </c>
    </row>
    <row r="10" spans="1:13">
      <c r="A10" s="617" t="s">
        <v>34</v>
      </c>
      <c r="B10" s="612">
        <v>24</v>
      </c>
      <c r="C10" s="724">
        <v>15</v>
      </c>
      <c r="D10" s="621">
        <v>21</v>
      </c>
      <c r="E10" s="610">
        <f t="shared" si="1"/>
        <v>60</v>
      </c>
      <c r="F10" s="610">
        <v>42</v>
      </c>
      <c r="G10" s="610">
        <v>435</v>
      </c>
      <c r="H10" s="609">
        <v>7497</v>
      </c>
      <c r="I10" s="610">
        <v>4461</v>
      </c>
      <c r="J10" s="610">
        <v>4971</v>
      </c>
      <c r="K10" s="629">
        <f t="shared" si="0"/>
        <v>17466</v>
      </c>
      <c r="L10" s="631">
        <f>+K10-H10</f>
        <v>9969</v>
      </c>
      <c r="M10" s="631">
        <f>+H13-H10</f>
        <v>2829</v>
      </c>
    </row>
    <row r="11" spans="1:13">
      <c r="A11" s="617" t="s">
        <v>31</v>
      </c>
      <c r="B11" s="612">
        <v>36</v>
      </c>
      <c r="C11" s="724">
        <v>6</v>
      </c>
      <c r="D11" s="621">
        <v>30</v>
      </c>
      <c r="E11" s="610">
        <f t="shared" si="1"/>
        <v>72</v>
      </c>
      <c r="F11" s="610">
        <v>111</v>
      </c>
      <c r="G11" s="610">
        <v>705</v>
      </c>
      <c r="H11" s="610">
        <v>1581</v>
      </c>
      <c r="I11" s="609">
        <v>24369</v>
      </c>
      <c r="J11" s="610">
        <v>15042</v>
      </c>
      <c r="K11" s="629">
        <f t="shared" si="0"/>
        <v>41880</v>
      </c>
      <c r="L11" s="631">
        <f>+K11-I11</f>
        <v>17511</v>
      </c>
      <c r="M11" s="631">
        <f>+I13-I11</f>
        <v>12273</v>
      </c>
    </row>
    <row r="12" spans="1:13">
      <c r="A12" s="617" t="s">
        <v>35</v>
      </c>
      <c r="B12" s="612">
        <v>81</v>
      </c>
      <c r="C12" s="724">
        <v>18</v>
      </c>
      <c r="D12" s="621">
        <v>72</v>
      </c>
      <c r="E12" s="610">
        <f t="shared" si="1"/>
        <v>171</v>
      </c>
      <c r="F12" s="610">
        <v>273</v>
      </c>
      <c r="G12" s="610">
        <v>2787</v>
      </c>
      <c r="H12" s="610">
        <v>570</v>
      </c>
      <c r="I12" s="610">
        <v>5046</v>
      </c>
      <c r="J12" s="609">
        <v>88449</v>
      </c>
      <c r="K12" s="629">
        <f t="shared" si="0"/>
        <v>97296</v>
      </c>
      <c r="L12" s="631">
        <f>+K12-J12</f>
        <v>8847</v>
      </c>
      <c r="M12" s="631">
        <f>+J13-J12</f>
        <v>35577</v>
      </c>
    </row>
    <row r="13" spans="1:13" ht="13.5" thickBot="1">
      <c r="A13" s="618" t="s">
        <v>40</v>
      </c>
      <c r="B13" s="626">
        <f t="shared" ref="B13:M13" si="3">SUM(B7:B12)</f>
        <v>9540</v>
      </c>
      <c r="C13" s="626">
        <f t="shared" si="3"/>
        <v>2898</v>
      </c>
      <c r="D13" s="627">
        <f t="shared" si="3"/>
        <v>3423</v>
      </c>
      <c r="E13" s="626">
        <f t="shared" si="3"/>
        <v>15861</v>
      </c>
      <c r="F13" s="626">
        <f t="shared" si="3"/>
        <v>12144</v>
      </c>
      <c r="G13" s="626">
        <f t="shared" si="3"/>
        <v>13785</v>
      </c>
      <c r="H13" s="626">
        <f t="shared" si="3"/>
        <v>10326</v>
      </c>
      <c r="I13" s="626">
        <f t="shared" si="3"/>
        <v>36642</v>
      </c>
      <c r="J13" s="626">
        <f t="shared" si="3"/>
        <v>124026</v>
      </c>
      <c r="K13" s="633">
        <f t="shared" si="3"/>
        <v>212784</v>
      </c>
      <c r="L13" s="634">
        <f t="shared" si="3"/>
        <v>56901</v>
      </c>
      <c r="M13" s="634">
        <f t="shared" si="3"/>
        <v>56901</v>
      </c>
    </row>
    <row r="14" spans="1:13">
      <c r="A14" s="35"/>
      <c r="B14" s="35"/>
      <c r="C14" s="61"/>
      <c r="D14" s="35"/>
      <c r="E14" s="36"/>
      <c r="F14" s="36"/>
      <c r="G14" s="36"/>
      <c r="H14" s="36"/>
      <c r="I14" s="36"/>
      <c r="L14" s="35"/>
      <c r="M14" s="35"/>
    </row>
    <row r="15" spans="1:13">
      <c r="A15" s="35"/>
      <c r="B15" s="35"/>
      <c r="C15" s="61"/>
      <c r="D15" s="35"/>
      <c r="E15" s="36"/>
      <c r="F15" s="36"/>
      <c r="G15" s="189" t="s">
        <v>36</v>
      </c>
      <c r="H15" s="190"/>
      <c r="I15" s="189"/>
      <c r="J15" s="190"/>
      <c r="K15" s="191">
        <f>K7+K11+K8+K9+K10+K12</f>
        <v>212784</v>
      </c>
      <c r="L15" s="35"/>
      <c r="M15" s="35"/>
    </row>
    <row r="16" spans="1:13">
      <c r="A16" s="35"/>
      <c r="B16" s="35"/>
      <c r="C16" s="61"/>
      <c r="D16" s="35"/>
      <c r="E16" s="36"/>
      <c r="F16" s="36"/>
      <c r="G16" s="7" t="s">
        <v>38</v>
      </c>
      <c r="H16" s="7"/>
      <c r="I16" s="7"/>
      <c r="J16" s="7"/>
      <c r="K16" s="543">
        <f>E7+I11+F8+G9+H10+J12</f>
        <v>155883</v>
      </c>
      <c r="L16" s="35"/>
      <c r="M16" s="35"/>
    </row>
    <row r="17" spans="1:13">
      <c r="A17" s="35"/>
      <c r="B17" s="35"/>
      <c r="C17" s="61"/>
      <c r="D17" s="35"/>
      <c r="E17" s="36"/>
      <c r="F17" s="36"/>
      <c r="G17" s="192" t="s">
        <v>39</v>
      </c>
      <c r="H17" s="193"/>
      <c r="I17" s="192"/>
      <c r="J17" s="193"/>
      <c r="K17" s="194">
        <f>+K15-K16</f>
        <v>56901</v>
      </c>
      <c r="L17" s="35"/>
      <c r="M17" s="35"/>
    </row>
    <row r="19" spans="1:13">
      <c r="A19" t="s">
        <v>253</v>
      </c>
    </row>
    <row r="20" spans="1:13">
      <c r="A20" t="s">
        <v>254</v>
      </c>
    </row>
    <row r="21" spans="1:13">
      <c r="A21" t="s">
        <v>255</v>
      </c>
    </row>
    <row r="23" spans="1:13">
      <c r="A23" t="s">
        <v>263</v>
      </c>
    </row>
    <row r="25" spans="1:13">
      <c r="A25" t="s">
        <v>267</v>
      </c>
    </row>
    <row r="27" spans="1:13">
      <c r="A27" s="731" t="s">
        <v>1156</v>
      </c>
    </row>
  </sheetData>
  <phoneticPr fontId="4" type="noConversion"/>
  <pageMargins left="0.24" right="0.2" top="0.49" bottom="0.48" header="0.18" footer="0.16"/>
  <pageSetup paperSize="9" orientation="landscape" r:id="rId1"/>
  <headerFooter alignWithMargins="0">
    <oddFooter>&amp;L&amp;BGreater Wellington Confidential&amp;B&amp;C&amp;D&amp;RPage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15"/>
    <pageSetUpPr fitToPage="1"/>
  </sheetPr>
  <dimension ref="A1:Q42"/>
  <sheetViews>
    <sheetView workbookViewId="0">
      <pane ySplit="4" topLeftCell="A5" activePane="bottomLeft" state="frozen"/>
      <selection activeCell="C27" sqref="C27"/>
      <selection pane="bottomLeft" activeCell="F5" sqref="F5"/>
    </sheetView>
  </sheetViews>
  <sheetFormatPr defaultColWidth="9.140625" defaultRowHeight="12.75"/>
  <cols>
    <col min="1" max="1" width="20.28515625" style="337" customWidth="1"/>
    <col min="2" max="2" width="11.140625" style="373" customWidth="1"/>
    <col min="3" max="3" width="14.28515625" style="373" customWidth="1"/>
    <col min="4" max="4" width="11.28515625" style="337" customWidth="1"/>
    <col min="5" max="5" width="2" style="373" customWidth="1"/>
    <col min="6" max="6" width="11.140625" style="373" customWidth="1"/>
    <col min="7" max="7" width="14.7109375" style="373" customWidth="1"/>
    <col min="8" max="8" width="11.28515625" style="337" customWidth="1"/>
    <col min="9" max="9" width="2" style="373" customWidth="1"/>
    <col min="10" max="10" width="10.28515625" style="337" customWidth="1"/>
    <col min="11" max="11" width="11.140625" style="373" customWidth="1"/>
    <col min="12" max="13" width="11.28515625" style="337" customWidth="1"/>
    <col min="14" max="14" width="10" style="463" customWidth="1"/>
    <col min="15" max="15" width="7.28515625" style="463" customWidth="1"/>
    <col min="16" max="16" width="9.140625" style="337" customWidth="1"/>
    <col min="17" max="17" width="11.7109375" style="337" customWidth="1"/>
    <col min="18" max="16384" width="9.140625" style="337"/>
  </cols>
  <sheetData>
    <row r="1" spans="1:15" ht="15.75">
      <c r="A1" s="481" t="s">
        <v>543</v>
      </c>
      <c r="B1" s="335"/>
      <c r="C1" s="335"/>
      <c r="D1" s="336"/>
      <c r="E1" s="335"/>
      <c r="F1" s="335"/>
      <c r="G1" s="335"/>
      <c r="H1" s="336"/>
      <c r="I1" s="335"/>
      <c r="J1" s="336"/>
      <c r="K1" s="335"/>
      <c r="L1" s="336"/>
      <c r="M1" s="336"/>
    </row>
    <row r="2" spans="1:15" ht="15.75">
      <c r="A2" s="481" t="str">
        <f>Instructions!A2</f>
        <v>Final Public Transport Rate 2015/16</v>
      </c>
      <c r="B2" s="335"/>
      <c r="C2" s="335"/>
      <c r="D2" s="336"/>
      <c r="E2" s="335"/>
      <c r="F2" s="686"/>
      <c r="G2" s="687"/>
      <c r="H2" s="336"/>
      <c r="I2" s="335"/>
      <c r="J2" s="336"/>
      <c r="K2" s="677"/>
      <c r="L2" s="336"/>
      <c r="M2" s="336"/>
    </row>
    <row r="3" spans="1:15" ht="15.75">
      <c r="A3" s="481" t="s">
        <v>233</v>
      </c>
      <c r="B3" s="335"/>
      <c r="C3" s="335"/>
      <c r="D3" s="336"/>
      <c r="E3" s="335"/>
      <c r="F3" s="335"/>
      <c r="G3" s="335"/>
      <c r="H3" s="336"/>
      <c r="I3" s="335"/>
      <c r="J3" s="336"/>
      <c r="K3" s="335"/>
      <c r="L3" s="336"/>
      <c r="M3" s="336"/>
    </row>
    <row r="4" spans="1:15" ht="63.75">
      <c r="A4" s="338"/>
      <c r="B4" s="339" t="s">
        <v>1158</v>
      </c>
      <c r="C4" s="339" t="s">
        <v>1097</v>
      </c>
      <c r="D4" s="345" t="s">
        <v>1159</v>
      </c>
      <c r="E4" s="343"/>
      <c r="F4" s="340" t="s">
        <v>1160</v>
      </c>
      <c r="G4" s="344" t="s">
        <v>1161</v>
      </c>
      <c r="H4" s="346" t="s">
        <v>1162</v>
      </c>
      <c r="I4" s="343"/>
      <c r="J4" s="341" t="s">
        <v>258</v>
      </c>
      <c r="K4" s="342" t="s">
        <v>259</v>
      </c>
      <c r="L4" s="347" t="s">
        <v>256</v>
      </c>
      <c r="M4" s="348" t="s">
        <v>260</v>
      </c>
      <c r="N4" s="465"/>
      <c r="O4" s="466"/>
    </row>
    <row r="5" spans="1:15">
      <c r="A5" s="349" t="s">
        <v>799</v>
      </c>
      <c r="B5" s="350">
        <v>30918202.731233671</v>
      </c>
      <c r="C5" s="350">
        <v>47080501882</v>
      </c>
      <c r="D5" s="353">
        <v>6.5670928506083831E-2</v>
      </c>
      <c r="E5" s="352"/>
      <c r="F5" s="350">
        <f>Compare!D7</f>
        <v>16729989.710443255</v>
      </c>
      <c r="G5" s="350">
        <f>'RCV and ECV'!B9</f>
        <v>47137086782</v>
      </c>
      <c r="H5" s="353">
        <f>F5/G5*100</f>
        <v>3.5492201263553375E-2</v>
      </c>
      <c r="I5" s="352"/>
      <c r="J5" s="351">
        <f>+F5-B5</f>
        <v>-14188213.020790417</v>
      </c>
      <c r="K5" s="355">
        <f>F5/B5-1</f>
        <v>-0.45889514161369527</v>
      </c>
      <c r="L5" s="354">
        <f>H5-D5</f>
        <v>-3.0178727242530456E-2</v>
      </c>
      <c r="M5" s="355">
        <f>L5/D5</f>
        <v>-0.45954470157574617</v>
      </c>
      <c r="N5" s="467"/>
      <c r="O5" s="468"/>
    </row>
    <row r="6" spans="1:15">
      <c r="A6" s="356" t="s">
        <v>800</v>
      </c>
      <c r="B6" s="350">
        <v>19446167.161516499</v>
      </c>
      <c r="C6" s="350">
        <v>7334583732</v>
      </c>
      <c r="D6" s="353">
        <v>0.26512979975502854</v>
      </c>
      <c r="E6" s="352"/>
      <c r="F6" s="350">
        <f>Compare!D8</f>
        <v>12845590.917688336</v>
      </c>
      <c r="G6" s="350">
        <f>'RCV and ECV'!B10</f>
        <v>7225543732</v>
      </c>
      <c r="H6" s="353">
        <f>F6/G6*100</f>
        <v>0.17778026670572417</v>
      </c>
      <c r="I6" s="352"/>
      <c r="J6" s="351">
        <f>+F6-B6</f>
        <v>-6600576.2438281626</v>
      </c>
      <c r="K6" s="355">
        <f>F6/B6-1</f>
        <v>-0.3394281345524246</v>
      </c>
      <c r="L6" s="354">
        <f>H6-D6</f>
        <v>-8.7349533049304373E-2</v>
      </c>
      <c r="M6" s="355">
        <f>L6/D6</f>
        <v>-0.32945950673976504</v>
      </c>
      <c r="N6" s="469">
        <f>G5-G6-G7-G8</f>
        <v>0</v>
      </c>
      <c r="O6" s="470" t="s">
        <v>697</v>
      </c>
    </row>
    <row r="7" spans="1:15">
      <c r="A7" s="356" t="s">
        <v>808</v>
      </c>
      <c r="B7" s="350">
        <v>11431465.027523732</v>
      </c>
      <c r="C7" s="350">
        <v>39205762500</v>
      </c>
      <c r="D7" s="353">
        <v>2.9157614336728515E-2</v>
      </c>
      <c r="E7" s="352"/>
      <c r="F7" s="350">
        <f>Compare!D9+Compare!D10</f>
        <v>3869926.8740978274</v>
      </c>
      <c r="G7" s="350">
        <f>'RCV and ECV'!B11+'RCV and ECV'!B12</f>
        <v>39371243400</v>
      </c>
      <c r="H7" s="353">
        <f>F7/G7*100</f>
        <v>9.8293234856225743E-3</v>
      </c>
      <c r="I7" s="352"/>
      <c r="J7" s="351">
        <f>+F7-B7</f>
        <v>-7561538.153425904</v>
      </c>
      <c r="K7" s="355">
        <f>F7/B7-1</f>
        <v>-0.66146711162741267</v>
      </c>
      <c r="L7" s="354">
        <f>H7-D7</f>
        <v>-1.9328290851105941E-2</v>
      </c>
      <c r="M7" s="355">
        <f>L7/D7</f>
        <v>-0.66288999600214127</v>
      </c>
      <c r="N7" s="467"/>
      <c r="O7" s="468"/>
    </row>
    <row r="8" spans="1:15">
      <c r="A8" s="356" t="s">
        <v>803</v>
      </c>
      <c r="B8" s="350">
        <v>40570.542193442059</v>
      </c>
      <c r="C8" s="350">
        <v>540155650</v>
      </c>
      <c r="D8" s="353">
        <v>7.5108984222310845E-3</v>
      </c>
      <c r="E8" s="352"/>
      <c r="F8" s="350">
        <f>Compare!D12</f>
        <v>14471.918657089755</v>
      </c>
      <c r="G8" s="350">
        <f>'RCV and ECV'!B13</f>
        <v>540299650</v>
      </c>
      <c r="H8" s="353">
        <f>F8/G8*100</f>
        <v>2.6784986177743691E-3</v>
      </c>
      <c r="I8" s="352"/>
      <c r="J8" s="351">
        <f>+F8-B8</f>
        <v>-26098.623536352305</v>
      </c>
      <c r="K8" s="355">
        <f>F8/B8-1</f>
        <v>-0.64328998641213531</v>
      </c>
      <c r="L8" s="354">
        <f>H8-D8</f>
        <v>-4.8323998044567159E-3</v>
      </c>
      <c r="M8" s="355">
        <f>L8/D8</f>
        <v>-0.64338505632742526</v>
      </c>
      <c r="N8" s="467"/>
      <c r="O8" s="468"/>
    </row>
    <row r="9" spans="1:15">
      <c r="A9" s="349"/>
      <c r="B9" s="350"/>
      <c r="C9" s="350"/>
      <c r="D9" s="353"/>
      <c r="E9" s="352"/>
      <c r="F9" s="350"/>
      <c r="G9" s="350"/>
      <c r="H9" s="353"/>
      <c r="I9" s="352"/>
      <c r="J9" s="351"/>
      <c r="K9" s="355"/>
      <c r="L9" s="357"/>
      <c r="M9" s="355"/>
      <c r="N9" s="467"/>
      <c r="O9" s="468"/>
    </row>
    <row r="10" spans="1:15">
      <c r="A10" s="349" t="s">
        <v>804</v>
      </c>
      <c r="B10" s="350">
        <v>8831867.1292931885</v>
      </c>
      <c r="C10" s="350">
        <v>16893576500</v>
      </c>
      <c r="D10" s="353">
        <v>5.2279439639635737E-2</v>
      </c>
      <c r="E10" s="352"/>
      <c r="F10" s="350">
        <f>Compare!D14</f>
        <v>6795089.5622578198</v>
      </c>
      <c r="G10" s="350">
        <f>'RCV and ECV'!B15</f>
        <v>16996643500</v>
      </c>
      <c r="H10" s="353">
        <f>F10/G10*100</f>
        <v>3.9979008574591919E-2</v>
      </c>
      <c r="I10" s="352"/>
      <c r="J10" s="351">
        <f>+F10-B10</f>
        <v>-2036777.5670353686</v>
      </c>
      <c r="K10" s="355">
        <f>F10/B10-1</f>
        <v>-0.23061687151971133</v>
      </c>
      <c r="L10" s="354">
        <f>H10-D10</f>
        <v>-1.2300431065043818E-2</v>
      </c>
      <c r="M10" s="355">
        <f>L10/D10</f>
        <v>-0.23528238156015405</v>
      </c>
      <c r="N10" s="467"/>
      <c r="O10" s="468"/>
    </row>
    <row r="11" spans="1:15">
      <c r="A11" s="356" t="s">
        <v>808</v>
      </c>
      <c r="B11" s="350">
        <v>8795357.3315188568</v>
      </c>
      <c r="C11" s="350">
        <v>16624035000</v>
      </c>
      <c r="D11" s="353">
        <v>5.2907476022029887E-2</v>
      </c>
      <c r="E11" s="352"/>
      <c r="F11" s="350">
        <f>Compare!D15+Compare!D16</f>
        <v>6766611.3517091088</v>
      </c>
      <c r="G11" s="350">
        <f>'RCV and ECV'!B16+'RCV and ECV'!B17</f>
        <v>16723644500</v>
      </c>
      <c r="H11" s="353">
        <f>F11/G11*100</f>
        <v>4.0461344126928249E-2</v>
      </c>
      <c r="I11" s="352"/>
      <c r="J11" s="351">
        <f>+F11-B11</f>
        <v>-2028745.979809748</v>
      </c>
      <c r="K11" s="355">
        <f>F11/B11-1</f>
        <v>-0.23066100709059045</v>
      </c>
      <c r="L11" s="354">
        <f>H11-D11</f>
        <v>-1.2446131895101638E-2</v>
      </c>
      <c r="M11" s="355">
        <f>L11/D11</f>
        <v>-0.23524334991749093</v>
      </c>
      <c r="N11" s="469">
        <f>G10-G11-G12</f>
        <v>0</v>
      </c>
      <c r="O11" s="470" t="s">
        <v>697</v>
      </c>
    </row>
    <row r="12" spans="1:15">
      <c r="A12" s="356" t="s">
        <v>803</v>
      </c>
      <c r="B12" s="350">
        <v>36509.797774331761</v>
      </c>
      <c r="C12" s="350">
        <v>269541500</v>
      </c>
      <c r="D12" s="353">
        <v>1.3545148993506293E-2</v>
      </c>
      <c r="E12" s="352"/>
      <c r="F12" s="350">
        <f>Compare!D18</f>
        <v>28478.21054871138</v>
      </c>
      <c r="G12" s="350">
        <f>'RCV and ECV'!B18</f>
        <v>272999000</v>
      </c>
      <c r="H12" s="353">
        <f>F12/G12*100</f>
        <v>1.0431617166623827E-2</v>
      </c>
      <c r="I12" s="352"/>
      <c r="J12" s="351">
        <f>+F12-B12</f>
        <v>-8031.5872256203802</v>
      </c>
      <c r="K12" s="355">
        <f>F12/B12-1</f>
        <v>-0.21998443473348939</v>
      </c>
      <c r="L12" s="354">
        <f>H12-D12</f>
        <v>-3.1135318268824663E-3</v>
      </c>
      <c r="M12" s="355">
        <f>L12/D12</f>
        <v>-0.2298632394796935</v>
      </c>
      <c r="N12" s="467"/>
      <c r="O12" s="468"/>
    </row>
    <row r="13" spans="1:15">
      <c r="A13" s="349"/>
      <c r="B13" s="350"/>
      <c r="C13" s="350"/>
      <c r="D13" s="353"/>
      <c r="E13" s="352"/>
      <c r="F13" s="350"/>
      <c r="G13" s="350"/>
      <c r="H13" s="353"/>
      <c r="I13" s="352"/>
      <c r="J13" s="351"/>
      <c r="K13" s="355"/>
      <c r="L13" s="357"/>
      <c r="M13" s="355"/>
      <c r="N13" s="467"/>
      <c r="O13" s="468"/>
    </row>
    <row r="14" spans="1:15">
      <c r="A14" s="349" t="s">
        <v>805</v>
      </c>
      <c r="B14" s="350">
        <v>3473331.1123581943</v>
      </c>
      <c r="C14" s="350">
        <v>6595455350</v>
      </c>
      <c r="D14" s="353">
        <v>5.2662491489055323E-2</v>
      </c>
      <c r="E14" s="352"/>
      <c r="F14" s="350">
        <f>Compare!D20</f>
        <v>3196833.9590927591</v>
      </c>
      <c r="G14" s="350">
        <f>'RCV and ECV'!B20</f>
        <v>6660033350</v>
      </c>
      <c r="H14" s="353">
        <f>F14/G14*100</f>
        <v>4.8000269534577616E-2</v>
      </c>
      <c r="I14" s="352"/>
      <c r="J14" s="351">
        <f>+F14-B14</f>
        <v>-276497.15326543525</v>
      </c>
      <c r="K14" s="355">
        <f>F14/B14-1</f>
        <v>-7.9605757217229289E-2</v>
      </c>
      <c r="L14" s="354">
        <f>H14-D14</f>
        <v>-4.6622219544777063E-3</v>
      </c>
      <c r="M14" s="355">
        <f>L14/D14</f>
        <v>-8.8530219946897901E-2</v>
      </c>
      <c r="N14" s="467"/>
      <c r="O14" s="468"/>
    </row>
    <row r="15" spans="1:15">
      <c r="A15" s="356" t="s">
        <v>808</v>
      </c>
      <c r="B15" s="350">
        <v>3372827.3092322242</v>
      </c>
      <c r="C15" s="350">
        <v>5908065850</v>
      </c>
      <c r="D15" s="353">
        <v>5.7088519235651787E-2</v>
      </c>
      <c r="E15" s="352"/>
      <c r="F15" s="350">
        <f>Compare!D21+Compare!D22</f>
        <v>3104289.455578316</v>
      </c>
      <c r="G15" s="350">
        <f>'RCV and ECV'!B21+'RCV and ECV'!B22</f>
        <v>5966905850</v>
      </c>
      <c r="H15" s="539">
        <f>F15/G15*100</f>
        <v>5.2025112070074236E-2</v>
      </c>
      <c r="I15" s="352"/>
      <c r="J15" s="351">
        <f>+F15-B15</f>
        <v>-268537.85365390824</v>
      </c>
      <c r="K15" s="355">
        <f>F15/B15-1</f>
        <v>-7.9618026371779171E-2</v>
      </c>
      <c r="L15" s="354">
        <f>H15-D15</f>
        <v>-5.0634071655775506E-3</v>
      </c>
      <c r="M15" s="355">
        <f>L15/D15</f>
        <v>-8.8693965675947187E-2</v>
      </c>
      <c r="N15" s="469">
        <f>G14-G15-G16-G17</f>
        <v>0</v>
      </c>
      <c r="O15" s="470" t="s">
        <v>697</v>
      </c>
    </row>
    <row r="16" spans="1:15">
      <c r="A16" s="356" t="s">
        <v>803</v>
      </c>
      <c r="B16" s="350">
        <v>100503.80312596999</v>
      </c>
      <c r="C16" s="350">
        <v>687389500</v>
      </c>
      <c r="D16" s="353">
        <v>1.4621085007258621E-2</v>
      </c>
      <c r="E16" s="352"/>
      <c r="F16" s="350">
        <f>Compare!D24</f>
        <v>92544.503514443204</v>
      </c>
      <c r="G16" s="350">
        <f>'RCV and ECV'!B23</f>
        <v>693127500</v>
      </c>
      <c r="H16" s="539">
        <f>F16/G16*100</f>
        <v>1.3351728724432835E-2</v>
      </c>
      <c r="I16" s="352"/>
      <c r="J16" s="351">
        <f>+F16-B16</f>
        <v>-7959.2996115267888</v>
      </c>
      <c r="K16" s="355">
        <f>F16/B16-1</f>
        <v>-7.9194014196166451E-2</v>
      </c>
      <c r="L16" s="354">
        <f>H16-D16</f>
        <v>-1.2693562828257864E-3</v>
      </c>
      <c r="M16" s="355">
        <f>L16/D16</f>
        <v>-8.68168321431423E-2</v>
      </c>
      <c r="N16" s="467"/>
      <c r="O16" s="468"/>
    </row>
    <row r="17" spans="1:17">
      <c r="A17" s="349"/>
      <c r="B17" s="350"/>
      <c r="C17" s="350"/>
      <c r="D17" s="353"/>
      <c r="E17" s="352"/>
      <c r="F17" s="350"/>
      <c r="G17" s="350"/>
      <c r="H17" s="353"/>
      <c r="I17" s="352"/>
      <c r="J17" s="351"/>
      <c r="K17" s="355"/>
      <c r="L17" s="357"/>
      <c r="M17" s="355"/>
      <c r="N17" s="467"/>
      <c r="O17" s="468"/>
    </row>
    <row r="18" spans="1:17">
      <c r="A18" s="349" t="s">
        <v>806</v>
      </c>
      <c r="B18" s="350">
        <v>4552577.5169924991</v>
      </c>
      <c r="C18" s="350">
        <v>7927154300</v>
      </c>
      <c r="D18" s="353">
        <v>5.7430161501870844E-2</v>
      </c>
      <c r="E18" s="352"/>
      <c r="F18" s="350">
        <f>Compare!D26</f>
        <v>3816804.5536091239</v>
      </c>
      <c r="G18" s="350">
        <f>'RCV and ECV'!B25</f>
        <v>7973186800</v>
      </c>
      <c r="H18" s="353">
        <f>F18/G18*100</f>
        <v>4.7870502088438766E-2</v>
      </c>
      <c r="I18" s="352"/>
      <c r="J18" s="351">
        <f>+F18-B18</f>
        <v>-735772.9633833752</v>
      </c>
      <c r="K18" s="355">
        <f>F18/B18-1</f>
        <v>-0.16161678974978499</v>
      </c>
      <c r="L18" s="354">
        <f>H18-D18</f>
        <v>-9.5596594134320784E-3</v>
      </c>
      <c r="M18" s="355">
        <f>L18/D18</f>
        <v>-0.16645712224090931</v>
      </c>
      <c r="N18" s="467"/>
      <c r="O18" s="468"/>
    </row>
    <row r="19" spans="1:17">
      <c r="A19" s="356" t="s">
        <v>811</v>
      </c>
      <c r="B19" s="350">
        <v>4472540.9589606877</v>
      </c>
      <c r="C19" s="350">
        <v>7409354650</v>
      </c>
      <c r="D19" s="353">
        <v>6.0363434742062017E-2</v>
      </c>
      <c r="E19" s="352"/>
      <c r="F19" s="350">
        <f>Compare!D27+Compare!D28</f>
        <v>3749051.6205043616</v>
      </c>
      <c r="G19" s="350">
        <f>'RCV and ECV'!B26+'RCV and ECV'!B27</f>
        <v>7449799650</v>
      </c>
      <c r="H19" s="353">
        <f>F19/G19*100</f>
        <v>5.0324193892977535E-2</v>
      </c>
      <c r="I19" s="352"/>
      <c r="J19" s="351">
        <f>+F19-B19</f>
        <v>-723489.33845632616</v>
      </c>
      <c r="K19" s="355">
        <f>F19/B19-1</f>
        <v>-0.16176248470275556</v>
      </c>
      <c r="L19" s="354">
        <f>H19-D19</f>
        <v>-1.0039240849084481E-2</v>
      </c>
      <c r="M19" s="355">
        <f>L19/D19</f>
        <v>-0.16631328041525459</v>
      </c>
      <c r="N19" s="469">
        <f>G18-G19-G20-G21</f>
        <v>0</v>
      </c>
      <c r="O19" s="470" t="s">
        <v>697</v>
      </c>
    </row>
    <row r="20" spans="1:17">
      <c r="A20" s="356" t="s">
        <v>812</v>
      </c>
      <c r="B20" s="350">
        <v>80036.558031811248</v>
      </c>
      <c r="C20" s="350">
        <v>517799650</v>
      </c>
      <c r="D20" s="353">
        <v>1.545705139657998E-2</v>
      </c>
      <c r="E20" s="352"/>
      <c r="F20" s="350">
        <f>Compare!D30</f>
        <v>67752.933104762342</v>
      </c>
      <c r="G20" s="350">
        <f>'RCV and ECV'!B28</f>
        <v>523387150</v>
      </c>
      <c r="H20" s="353">
        <f>F20/G20*100</f>
        <v>1.2945089138081121E-2</v>
      </c>
      <c r="I20" s="352"/>
      <c r="J20" s="351">
        <f>+F20-B20</f>
        <v>-12283.624927048906</v>
      </c>
      <c r="K20" s="355">
        <f>F20/B20-1</f>
        <v>-0.15347517720797876</v>
      </c>
      <c r="L20" s="354">
        <f>H20-D20</f>
        <v>-2.511962258498859E-3</v>
      </c>
      <c r="M20" s="355">
        <f>L20/D20</f>
        <v>-0.1625123831220911</v>
      </c>
      <c r="N20" s="467"/>
      <c r="O20" s="468"/>
    </row>
    <row r="21" spans="1:17">
      <c r="A21" s="358"/>
      <c r="B21" s="359"/>
      <c r="C21" s="359"/>
      <c r="D21" s="362"/>
      <c r="E21" s="352"/>
      <c r="F21" s="359"/>
      <c r="G21" s="359"/>
      <c r="H21" s="362"/>
      <c r="I21" s="352"/>
      <c r="J21" s="351"/>
      <c r="K21" s="355"/>
      <c r="L21" s="358"/>
      <c r="M21" s="355"/>
      <c r="N21" s="467"/>
      <c r="O21" s="468"/>
    </row>
    <row r="22" spans="1:17">
      <c r="A22" s="349" t="s">
        <v>807</v>
      </c>
      <c r="B22" s="350">
        <v>2376227.8859726959</v>
      </c>
      <c r="C22" s="350">
        <v>10359797250</v>
      </c>
      <c r="D22" s="353">
        <v>2.2937011493856175E-2</v>
      </c>
      <c r="E22" s="352"/>
      <c r="F22" s="350">
        <f>Compare!D32</f>
        <v>1786198.7031074499</v>
      </c>
      <c r="G22" s="350">
        <f>'RCV and ECV'!B30</f>
        <v>10660861700</v>
      </c>
      <c r="H22" s="353">
        <f>F22/G22*100</f>
        <v>1.675473102805048E-2</v>
      </c>
      <c r="I22" s="352"/>
      <c r="J22" s="351">
        <f>+F22-B22</f>
        <v>-590029.18286524597</v>
      </c>
      <c r="K22" s="355">
        <f>F22/B22-1</f>
        <v>-0.24830496533951785</v>
      </c>
      <c r="L22" s="354">
        <f>H22-D22</f>
        <v>-6.1822804658056944E-3</v>
      </c>
      <c r="M22" s="355">
        <f>L22/D22</f>
        <v>-0.2695329540843478</v>
      </c>
      <c r="N22" s="467"/>
      <c r="O22" s="468"/>
    </row>
    <row r="23" spans="1:17">
      <c r="A23" s="356" t="s">
        <v>811</v>
      </c>
      <c r="B23" s="350">
        <v>2266406.0798272467</v>
      </c>
      <c r="C23" s="350">
        <v>8736364650</v>
      </c>
      <c r="D23" s="353">
        <v>2.5942210182667305E-2</v>
      </c>
      <c r="E23" s="352"/>
      <c r="F23" s="350">
        <f>Compare!D33+Compare!D34</f>
        <v>1705473.106881019</v>
      </c>
      <c r="G23" s="350">
        <f>'RCV and ECV'!B31+'RCV and ECV'!B32</f>
        <v>9041839650</v>
      </c>
      <c r="H23" s="353">
        <f>F23/G23*100</f>
        <v>1.8862014511405529E-2</v>
      </c>
      <c r="I23" s="352"/>
      <c r="J23" s="351">
        <f>+F23-B23</f>
        <v>-560932.97294622776</v>
      </c>
      <c r="K23" s="355">
        <f>F23/B23-1</f>
        <v>-0.24749888289612421</v>
      </c>
      <c r="L23" s="354">
        <f>H23-D23</f>
        <v>-7.0801956712617763E-3</v>
      </c>
      <c r="M23" s="355">
        <f>L23/D23</f>
        <v>-0.27292183747675619</v>
      </c>
      <c r="N23" s="469">
        <f>G22-G23-G24-G25</f>
        <v>0</v>
      </c>
      <c r="O23" s="470" t="s">
        <v>697</v>
      </c>
    </row>
    <row r="24" spans="1:17">
      <c r="A24" s="356" t="s">
        <v>812</v>
      </c>
      <c r="B24" s="350">
        <v>109821.8061454492</v>
      </c>
      <c r="C24" s="350">
        <v>1623432600</v>
      </c>
      <c r="D24" s="353">
        <v>6.764789997776883E-3</v>
      </c>
      <c r="E24" s="352"/>
      <c r="F24" s="350">
        <f>Compare!D36</f>
        <v>80725.596226431007</v>
      </c>
      <c r="G24" s="350">
        <f>'RCV and ECV'!B33</f>
        <v>1619022050</v>
      </c>
      <c r="H24" s="353">
        <f>F24/G24*100</f>
        <v>4.9860714513697332E-3</v>
      </c>
      <c r="I24" s="352"/>
      <c r="J24" s="351">
        <f>+F24-B24</f>
        <v>-29096.209919018191</v>
      </c>
      <c r="K24" s="355">
        <f>F24/B24-1</f>
        <v>-0.26494018756605453</v>
      </c>
      <c r="L24" s="354">
        <f>H24-D24</f>
        <v>-1.7787185464071499E-3</v>
      </c>
      <c r="M24" s="355">
        <f>L24/D24</f>
        <v>-0.26293773302522194</v>
      </c>
      <c r="N24" s="467"/>
      <c r="O24" s="468"/>
    </row>
    <row r="25" spans="1:17">
      <c r="A25" s="358"/>
      <c r="B25" s="359"/>
      <c r="C25" s="359"/>
      <c r="D25" s="362"/>
      <c r="E25" s="352"/>
      <c r="F25" s="359"/>
      <c r="G25" s="359"/>
      <c r="H25" s="362"/>
      <c r="I25" s="352"/>
      <c r="J25" s="351"/>
      <c r="K25" s="355"/>
      <c r="L25" s="358"/>
      <c r="M25" s="355"/>
      <c r="N25" s="467"/>
      <c r="O25" s="468"/>
    </row>
    <row r="26" spans="1:17">
      <c r="A26" s="349" t="s">
        <v>810</v>
      </c>
      <c r="B26" s="350">
        <v>247237.40696247871</v>
      </c>
      <c r="C26" s="350">
        <v>4498309300</v>
      </c>
      <c r="D26" s="353">
        <v>5.4962295936937617E-3</v>
      </c>
      <c r="E26" s="352"/>
      <c r="F26" s="350">
        <f>Compare!D38</f>
        <v>193006.07420962813</v>
      </c>
      <c r="G26" s="350">
        <f>G27+G28</f>
        <v>4620819400</v>
      </c>
      <c r="H26" s="353">
        <f>F26/G26*100</f>
        <v>4.1768798453717566E-3</v>
      </c>
      <c r="I26" s="352"/>
      <c r="J26" s="351">
        <f>+F26-B26</f>
        <v>-54231.332752850576</v>
      </c>
      <c r="K26" s="355">
        <f>F26/B26-1</f>
        <v>-0.2193492215402536</v>
      </c>
      <c r="L26" s="354">
        <f>H26-D26</f>
        <v>-1.3193497483220051E-3</v>
      </c>
      <c r="M26" s="355">
        <f>L26/D26</f>
        <v>-0.24004633100403855</v>
      </c>
      <c r="N26" s="467"/>
      <c r="O26" s="468"/>
      <c r="Q26" s="662"/>
    </row>
    <row r="27" spans="1:17">
      <c r="A27" s="356" t="s">
        <v>811</v>
      </c>
      <c r="B27" s="350">
        <v>190909.48837821861</v>
      </c>
      <c r="C27" s="350">
        <v>2246047100</v>
      </c>
      <c r="D27" s="353">
        <v>8.4997989747507344E-3</v>
      </c>
      <c r="E27" s="352"/>
      <c r="F27" s="350">
        <f>Compare!D39+Compare!D40</f>
        <v>147378.37821292417</v>
      </c>
      <c r="G27" s="350">
        <f>'RCV and ECV'!B36+'RCV and ECV'!B37</f>
        <v>2301399600</v>
      </c>
      <c r="H27" s="353">
        <f>F27/G27*100</f>
        <v>6.4038586872494528E-3</v>
      </c>
      <c r="I27" s="352"/>
      <c r="J27" s="351">
        <f>+F27-B27</f>
        <v>-43531.110165294434</v>
      </c>
      <c r="K27" s="355">
        <f>F27/B27-1</f>
        <v>-0.22801962613326565</v>
      </c>
      <c r="L27" s="354">
        <f>H27-D27</f>
        <v>-2.0959402875012816E-3</v>
      </c>
      <c r="M27" s="355">
        <f>L27/D27</f>
        <v>-0.24658704208504498</v>
      </c>
      <c r="N27" s="469">
        <f>G26-G27-G28</f>
        <v>0</v>
      </c>
      <c r="O27" s="470" t="s">
        <v>697</v>
      </c>
      <c r="Q27" s="662"/>
    </row>
    <row r="28" spans="1:17">
      <c r="A28" s="356" t="s">
        <v>812</v>
      </c>
      <c r="B28" s="350">
        <v>56327.9185842601</v>
      </c>
      <c r="C28" s="350">
        <v>2252262200</v>
      </c>
      <c r="D28" s="353">
        <v>2.5009485389516418E-3</v>
      </c>
      <c r="E28" s="352"/>
      <c r="F28" s="350">
        <f>Compare!D42</f>
        <v>45627.695996703966</v>
      </c>
      <c r="G28" s="350">
        <f>'RCV and ECV'!B38</f>
        <v>2319419800</v>
      </c>
      <c r="H28" s="353">
        <f>F28/G28*100</f>
        <v>1.9672030046783235E-3</v>
      </c>
      <c r="I28" s="352"/>
      <c r="J28" s="351">
        <f>+F28-B28</f>
        <v>-10700.222587556134</v>
      </c>
      <c r="K28" s="355">
        <f>F28/B28-1</f>
        <v>-0.18996303887120969</v>
      </c>
      <c r="L28" s="354">
        <f>H28-D28</f>
        <v>-5.3374553427331826E-4</v>
      </c>
      <c r="M28" s="355">
        <f>L28/D28</f>
        <v>-0.2134172398833348</v>
      </c>
      <c r="N28" s="467"/>
      <c r="O28" s="468"/>
      <c r="Q28" s="662"/>
    </row>
    <row r="29" spans="1:17">
      <c r="A29" s="358"/>
      <c r="B29" s="359"/>
      <c r="C29" s="359"/>
      <c r="D29" s="362"/>
      <c r="E29" s="352"/>
      <c r="F29" s="359"/>
      <c r="G29" s="359"/>
      <c r="H29" s="362"/>
      <c r="I29" s="352"/>
      <c r="J29" s="351"/>
      <c r="K29" s="355"/>
      <c r="L29" s="358"/>
      <c r="M29" s="355"/>
      <c r="N29" s="467"/>
      <c r="O29" s="468"/>
      <c r="Q29" s="662"/>
    </row>
    <row r="30" spans="1:17">
      <c r="A30" s="349" t="s">
        <v>813</v>
      </c>
      <c r="B30" s="350">
        <v>152117.62433963086</v>
      </c>
      <c r="C30" s="350">
        <v>1969030100</v>
      </c>
      <c r="D30" s="353">
        <v>7.7255103586090865E-3</v>
      </c>
      <c r="E30" s="352"/>
      <c r="F30" s="350">
        <f>Compare!D44</f>
        <v>130553.66204707639</v>
      </c>
      <c r="G30" s="350">
        <f>G31+G32</f>
        <v>2113042300</v>
      </c>
      <c r="H30" s="353">
        <f>F30/G30*100</f>
        <v>6.1784689330202421E-3</v>
      </c>
      <c r="I30" s="352"/>
      <c r="J30" s="351">
        <f>+F30-B30</f>
        <v>-21563.962292554468</v>
      </c>
      <c r="K30" s="355">
        <f>F30/B30-1</f>
        <v>-0.14175847398463781</v>
      </c>
      <c r="L30" s="354">
        <f>H30-D30</f>
        <v>-1.5470414255888444E-3</v>
      </c>
      <c r="M30" s="355">
        <f>L30/D30</f>
        <v>-0.20025103245960521</v>
      </c>
      <c r="N30" s="467"/>
      <c r="O30" s="468"/>
      <c r="Q30" s="662"/>
    </row>
    <row r="31" spans="1:17">
      <c r="A31" s="356" t="s">
        <v>811</v>
      </c>
      <c r="B31" s="350">
        <v>95307.79563122915</v>
      </c>
      <c r="C31" s="350">
        <v>617603600</v>
      </c>
      <c r="D31" s="353">
        <v>1.5431871775234009E-2</v>
      </c>
      <c r="E31" s="352"/>
      <c r="F31" s="350">
        <f>Compare!D45+Compare!D46</f>
        <v>81326.131137667122</v>
      </c>
      <c r="G31" s="350">
        <f>'RCV and ECV'!B41+'RCV and ECV'!B42</f>
        <v>662117100</v>
      </c>
      <c r="H31" s="353">
        <f>F31/G31*100</f>
        <v>1.2282741396902016E-2</v>
      </c>
      <c r="I31" s="352"/>
      <c r="J31" s="351">
        <f>+F31-B31</f>
        <v>-13981.664493562028</v>
      </c>
      <c r="K31" s="355">
        <f>F31/B31-1</f>
        <v>-0.14670011409833417</v>
      </c>
      <c r="L31" s="354">
        <f>H31-D31</f>
        <v>-3.1491303783319925E-3</v>
      </c>
      <c r="M31" s="355">
        <f>L31/D31</f>
        <v>-0.20406665012509406</v>
      </c>
      <c r="N31" s="469">
        <f>G30-G31-G32</f>
        <v>0</v>
      </c>
      <c r="O31" s="470" t="s">
        <v>697</v>
      </c>
      <c r="Q31" s="662"/>
    </row>
    <row r="32" spans="1:17">
      <c r="A32" s="356" t="s">
        <v>812</v>
      </c>
      <c r="B32" s="350">
        <v>56809.828708401714</v>
      </c>
      <c r="C32" s="350">
        <v>1351426500</v>
      </c>
      <c r="D32" s="353">
        <v>4.2036935570230211E-3</v>
      </c>
      <c r="E32" s="352"/>
      <c r="F32" s="350">
        <f>Compare!D48</f>
        <v>49227.530909409266</v>
      </c>
      <c r="G32" s="350">
        <f>'RCV and ECV'!B43</f>
        <v>1450925200</v>
      </c>
      <c r="H32" s="353">
        <f>F32/G32*100</f>
        <v>3.3928372675179445E-3</v>
      </c>
      <c r="I32" s="352"/>
      <c r="J32" s="351">
        <f>+F32-B32</f>
        <v>-7582.2977989924475</v>
      </c>
      <c r="K32" s="355">
        <f>F32/B32-1</f>
        <v>-0.13346806303380188</v>
      </c>
      <c r="L32" s="354">
        <f>H32-D32</f>
        <v>-8.1085628950507659E-4</v>
      </c>
      <c r="M32" s="355">
        <f>L32/D32</f>
        <v>-0.19289138908577108</v>
      </c>
      <c r="N32" s="467"/>
      <c r="O32" s="468"/>
      <c r="Q32" s="662"/>
    </row>
    <row r="33" spans="1:17">
      <c r="A33" s="358"/>
      <c r="B33" s="359"/>
      <c r="C33" s="359"/>
      <c r="D33" s="362"/>
      <c r="E33" s="352"/>
      <c r="F33" s="359"/>
      <c r="G33" s="359"/>
      <c r="H33" s="362"/>
      <c r="I33" s="352"/>
      <c r="J33" s="351"/>
      <c r="K33" s="355"/>
      <c r="L33" s="358"/>
      <c r="M33" s="355"/>
      <c r="N33" s="467"/>
      <c r="O33" s="468"/>
      <c r="Q33" s="662"/>
    </row>
    <row r="34" spans="1:17">
      <c r="A34" s="349" t="s">
        <v>814</v>
      </c>
      <c r="B34" s="350">
        <v>312884.85304367018</v>
      </c>
      <c r="C34" s="350">
        <v>3266675700</v>
      </c>
      <c r="D34" s="353">
        <v>9.5780812599080521E-3</v>
      </c>
      <c r="E34" s="352"/>
      <c r="F34" s="350">
        <f>Compare!D50</f>
        <v>241161.46275563174</v>
      </c>
      <c r="G34" s="350">
        <f>G35+G36</f>
        <v>3500289200</v>
      </c>
      <c r="H34" s="353">
        <f>F34/G34*100</f>
        <v>6.889758216424853E-3</v>
      </c>
      <c r="I34" s="352"/>
      <c r="J34" s="351">
        <f>+F34-B34</f>
        <v>-71723.390288038441</v>
      </c>
      <c r="K34" s="355">
        <f>F34/B34-1</f>
        <v>-0.22923254222865119</v>
      </c>
      <c r="L34" s="354">
        <f>H34-D34</f>
        <v>-2.6883230434831991E-3</v>
      </c>
      <c r="M34" s="355">
        <f>L34/D34</f>
        <v>-0.28067448693883879</v>
      </c>
      <c r="N34" s="467"/>
      <c r="O34" s="468"/>
      <c r="Q34" s="662"/>
    </row>
    <row r="35" spans="1:17">
      <c r="A35" s="356" t="s">
        <v>811</v>
      </c>
      <c r="B35" s="350">
        <v>193044.797358615</v>
      </c>
      <c r="C35" s="350">
        <v>970217400</v>
      </c>
      <c r="D35" s="353">
        <v>1.9897066096589797E-2</v>
      </c>
      <c r="E35" s="352"/>
      <c r="F35" s="350">
        <f>Compare!D51+Compare!D52</f>
        <v>145957.74543756057</v>
      </c>
      <c r="G35" s="350">
        <f>'RCV and ECV'!B46+'RCV and ECV'!B47</f>
        <v>1013718500</v>
      </c>
      <c r="H35" s="353">
        <f>F35/G35*100</f>
        <v>1.4398252122020123E-2</v>
      </c>
      <c r="I35" s="352"/>
      <c r="J35" s="351">
        <f>+F35-B35</f>
        <v>-47087.05192105443</v>
      </c>
      <c r="K35" s="355">
        <f>F35/B35-1</f>
        <v>-0.24391774637459862</v>
      </c>
      <c r="L35" s="354">
        <f>H35-D35</f>
        <v>-5.4988139745696732E-3</v>
      </c>
      <c r="M35" s="355">
        <f>L35/D35</f>
        <v>-0.27636305512962672</v>
      </c>
      <c r="N35" s="469">
        <f>G34-G35-G36</f>
        <v>0</v>
      </c>
      <c r="O35" s="470" t="s">
        <v>697</v>
      </c>
      <c r="Q35" s="662"/>
    </row>
    <row r="36" spans="1:17">
      <c r="A36" s="356" t="s">
        <v>812</v>
      </c>
      <c r="B36" s="350">
        <v>119840.05568505517</v>
      </c>
      <c r="C36" s="350">
        <v>2296458300</v>
      </c>
      <c r="D36" s="353">
        <v>5.2184729714036242E-3</v>
      </c>
      <c r="E36" s="352"/>
      <c r="F36" s="350">
        <f>Compare!D54</f>
        <v>95203.717318071169</v>
      </c>
      <c r="G36" s="350">
        <f>'RCV and ECV'!B48</f>
        <v>2486570700</v>
      </c>
      <c r="H36" s="353">
        <f>F36/G36*100</f>
        <v>3.8287154802423744E-3</v>
      </c>
      <c r="I36" s="352"/>
      <c r="J36" s="351">
        <f>+F36-B36</f>
        <v>-24636.338366983997</v>
      </c>
      <c r="K36" s="355">
        <f>F36/B36-1</f>
        <v>-0.20557682676424449</v>
      </c>
      <c r="L36" s="354">
        <f>H36-D36</f>
        <v>-1.3897574911612498E-3</v>
      </c>
      <c r="M36" s="355">
        <f>L36/D36</f>
        <v>-0.26631497351368744</v>
      </c>
      <c r="N36" s="467"/>
      <c r="O36" s="468"/>
      <c r="Q36" s="662"/>
    </row>
    <row r="37" spans="1:17">
      <c r="A37" s="358"/>
      <c r="B37" s="359"/>
      <c r="C37" s="359"/>
      <c r="D37" s="362"/>
      <c r="E37" s="363"/>
      <c r="F37" s="359"/>
      <c r="G37" s="359"/>
      <c r="H37" s="362"/>
      <c r="I37" s="363"/>
      <c r="J37" s="351"/>
      <c r="K37" s="360"/>
      <c r="L37" s="358"/>
      <c r="M37" s="355"/>
      <c r="N37" s="467"/>
      <c r="O37" s="468"/>
    </row>
    <row r="38" spans="1:17">
      <c r="A38" s="349" t="s">
        <v>815</v>
      </c>
      <c r="B38" s="359"/>
      <c r="C38" s="359">
        <v>6276050</v>
      </c>
      <c r="D38" s="353">
        <v>0</v>
      </c>
      <c r="E38" s="363"/>
      <c r="F38" s="359"/>
      <c r="G38" s="359">
        <f>'RCV and ECV'!B50</f>
        <v>6936500</v>
      </c>
      <c r="H38" s="353">
        <f>F38/G38*100</f>
        <v>0</v>
      </c>
      <c r="I38" s="363"/>
      <c r="J38" s="351"/>
      <c r="K38" s="360"/>
      <c r="L38" s="354">
        <f>H38-D38</f>
        <v>0</v>
      </c>
      <c r="M38" s="355"/>
      <c r="N38" s="467"/>
      <c r="O38" s="468"/>
    </row>
    <row r="39" spans="1:17" ht="13.5" thickBot="1">
      <c r="A39" s="540" t="s">
        <v>816</v>
      </c>
      <c r="B39" s="365">
        <v>50864446.26019603</v>
      </c>
      <c r="C39" s="365">
        <v>98596776432</v>
      </c>
      <c r="D39" s="366"/>
      <c r="E39" s="364"/>
      <c r="F39" s="365">
        <f>+F38+F34+F30+F26+F22+F18+F14+F10+F5</f>
        <v>32889637.687522743</v>
      </c>
      <c r="G39" s="365">
        <f>+G38+G34+G30+G26+G22+G18+G14+G10+G5</f>
        <v>99668899532</v>
      </c>
      <c r="H39" s="366"/>
      <c r="I39" s="364"/>
      <c r="J39" s="541">
        <f>+F39-B39</f>
        <v>-17974808.572673287</v>
      </c>
      <c r="K39" s="542">
        <f>F39/B39-1</f>
        <v>-0.35338649870920691</v>
      </c>
      <c r="L39" s="367"/>
      <c r="M39" s="368"/>
      <c r="N39" s="471"/>
      <c r="O39" s="472"/>
    </row>
    <row r="40" spans="1:17" s="372" customFormat="1">
      <c r="A40" s="369"/>
      <c r="B40" s="370"/>
      <c r="C40" s="370"/>
      <c r="D40" s="371"/>
      <c r="E40" s="361"/>
      <c r="F40" s="361"/>
      <c r="G40" s="361"/>
      <c r="H40" s="371"/>
      <c r="I40" s="361"/>
      <c r="J40" s="371"/>
      <c r="K40" s="361"/>
      <c r="L40" s="371"/>
      <c r="M40" s="371"/>
      <c r="N40" s="464"/>
      <c r="O40" s="464"/>
    </row>
    <row r="41" spans="1:17">
      <c r="A41" s="473" t="s">
        <v>257</v>
      </c>
      <c r="B41" s="474"/>
      <c r="C41" s="474"/>
      <c r="D41" s="476"/>
      <c r="E41" s="475"/>
      <c r="F41" s="475"/>
      <c r="G41" s="475"/>
      <c r="H41" s="476"/>
      <c r="I41" s="475"/>
      <c r="J41" s="476"/>
      <c r="K41" s="475"/>
      <c r="L41" s="476"/>
      <c r="M41" s="466"/>
    </row>
    <row r="42" spans="1:17">
      <c r="A42" s="477" t="s">
        <v>257</v>
      </c>
      <c r="B42" s="478">
        <f>+B38+B36+B35+B32+B31+B28+B27+B24+B23+B20+B19+B16+B15+B12+B11+B8+B7+B6-B39</f>
        <v>0</v>
      </c>
      <c r="C42" s="478"/>
      <c r="D42" s="479"/>
      <c r="E42" s="478"/>
      <c r="F42" s="478">
        <f>+F38+F36+F35+F32+F31+F28+F27+F24+F23+F20+F19+F16+F15+F12+F11+F8+F7+F6-F39</f>
        <v>0</v>
      </c>
      <c r="G42" s="478">
        <f>+G38+G36+G35+G32+G31+G28+G27+G24+G23+G20+G19+G16+G15+G12+G11+G8+G7+G6-G39</f>
        <v>0</v>
      </c>
      <c r="H42" s="479"/>
      <c r="I42" s="478"/>
      <c r="J42" s="479"/>
      <c r="K42" s="478"/>
      <c r="L42" s="479"/>
      <c r="M42" s="480"/>
    </row>
  </sheetData>
  <phoneticPr fontId="9" type="noConversion"/>
  <pageMargins left="0.28999999999999998" right="0.25" top="0.37" bottom="0.43" header="0.23" footer="0.2"/>
  <pageSetup paperSize="9" scale="91" orientation="landscape" r:id="rId1"/>
  <headerFooter alignWithMargins="0">
    <oddFooter>&amp;L&amp;BGreater Wellington Confidential&amp;B&amp;C&amp;D&amp;RPage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fitToPage="1"/>
  </sheetPr>
  <dimension ref="A1:N79"/>
  <sheetViews>
    <sheetView workbookViewId="0">
      <pane xSplit="2" ySplit="5" topLeftCell="C6" activePane="bottomRight" state="frozen"/>
      <selection activeCell="P17" sqref="P17"/>
      <selection pane="topRight" activeCell="P17" sqref="P17"/>
      <selection pane="bottomLeft" activeCell="P17" sqref="P17"/>
      <selection pane="bottomRight" activeCell="C7" sqref="C7"/>
    </sheetView>
  </sheetViews>
  <sheetFormatPr defaultColWidth="9.140625" defaultRowHeight="12.75"/>
  <cols>
    <col min="1" max="1" width="2.28515625" style="14" customWidth="1"/>
    <col min="2" max="2" width="29.28515625" style="14" customWidth="1"/>
    <col min="3" max="3" width="12.42578125" style="14" customWidth="1"/>
    <col min="4" max="4" width="12.42578125" style="20" customWidth="1"/>
    <col min="5" max="5" width="13.140625" style="20" bestFit="1" customWidth="1"/>
    <col min="6" max="6" width="4.42578125" style="14" customWidth="1"/>
    <col min="7" max="9" width="12.42578125" style="14" customWidth="1"/>
    <col min="10" max="10" width="4" style="14" customWidth="1"/>
    <col min="11" max="11" width="12.42578125" style="14" customWidth="1"/>
    <col min="12" max="12" width="9.28515625" style="14" bestFit="1" customWidth="1"/>
    <col min="13" max="13" width="15" style="14" customWidth="1"/>
    <col min="14" max="16384" width="9.140625" style="14"/>
  </cols>
  <sheetData>
    <row r="1" spans="1:14" ht="18">
      <c r="A1" s="9" t="s">
        <v>543</v>
      </c>
      <c r="B1" s="278"/>
    </row>
    <row r="2" spans="1:14" ht="18">
      <c r="A2" s="9" t="str">
        <f>Instructions!A2</f>
        <v>Final Public Transport Rate 2015/16</v>
      </c>
      <c r="B2" s="278"/>
    </row>
    <row r="3" spans="1:14" ht="18.75" thickBot="1">
      <c r="A3" s="9" t="s">
        <v>232</v>
      </c>
      <c r="B3" s="278"/>
      <c r="D3" s="14"/>
      <c r="E3" s="14"/>
    </row>
    <row r="4" spans="1:14" ht="13.5" thickBot="1">
      <c r="C4" s="786" t="s">
        <v>1163</v>
      </c>
      <c r="D4" s="787"/>
      <c r="E4" s="788"/>
      <c r="G4" s="791" t="s">
        <v>1164</v>
      </c>
      <c r="H4" s="792"/>
      <c r="I4" s="793"/>
    </row>
    <row r="5" spans="1:14" ht="30" customHeight="1" thickBot="1">
      <c r="C5" s="550" t="s">
        <v>382</v>
      </c>
      <c r="D5" s="551" t="s">
        <v>784</v>
      </c>
      <c r="E5" s="551" t="s">
        <v>785</v>
      </c>
      <c r="F5" s="334"/>
      <c r="G5" s="552" t="s">
        <v>382</v>
      </c>
      <c r="H5" s="553" t="s">
        <v>784</v>
      </c>
      <c r="I5" s="553" t="s">
        <v>785</v>
      </c>
      <c r="J5" s="334"/>
      <c r="K5" s="413" t="s">
        <v>771</v>
      </c>
    </row>
    <row r="6" spans="1:14">
      <c r="A6" s="59" t="s">
        <v>372</v>
      </c>
      <c r="B6" s="97"/>
      <c r="C6" s="404"/>
      <c r="D6" s="651">
        <f>social</f>
        <v>0.05</v>
      </c>
      <c r="E6" s="404"/>
      <c r="F6" s="232"/>
      <c r="G6" s="404"/>
      <c r="H6" s="651">
        <v>0.05</v>
      </c>
      <c r="I6" s="404"/>
      <c r="J6" s="232"/>
      <c r="K6" s="404"/>
    </row>
    <row r="7" spans="1:14" ht="12.75" customHeight="1">
      <c r="A7" s="789" t="s">
        <v>149</v>
      </c>
      <c r="B7" s="790"/>
      <c r="C7" s="405">
        <f>'Bus-Sum'!C16</f>
        <v>1060894.9324066173</v>
      </c>
      <c r="D7" s="405">
        <f>C7*social</f>
        <v>53044.746620330872</v>
      </c>
      <c r="E7" s="405">
        <f>C7-D7</f>
        <v>1007850.1857862865</v>
      </c>
      <c r="F7" s="232"/>
      <c r="G7" s="405">
        <v>19353218.547311563</v>
      </c>
      <c r="H7" s="405">
        <v>967660.92736557825</v>
      </c>
      <c r="I7" s="405">
        <v>18385557.619945984</v>
      </c>
      <c r="J7" s="232"/>
      <c r="K7" s="405">
        <f>+E7-I7</f>
        <v>-17377707.434159696</v>
      </c>
      <c r="L7" s="24"/>
      <c r="M7" s="18"/>
      <c r="N7" s="21"/>
    </row>
    <row r="8" spans="1:14" ht="13.5" thickBot="1">
      <c r="A8" s="414" t="s">
        <v>373</v>
      </c>
      <c r="B8" s="249"/>
      <c r="C8" s="415">
        <f>SUM(C7:C7)</f>
        <v>1060894.9324066173</v>
      </c>
      <c r="D8" s="415">
        <f>SUM(D7:D7)</f>
        <v>53044.746620330872</v>
      </c>
      <c r="E8" s="415">
        <f>SUM(E7:E7)</f>
        <v>1007850.1857862865</v>
      </c>
      <c r="F8" s="232"/>
      <c r="G8" s="415">
        <v>19353218.547311563</v>
      </c>
      <c r="H8" s="415">
        <v>967660.92736557825</v>
      </c>
      <c r="I8" s="415">
        <v>18385557.619945984</v>
      </c>
      <c r="J8" s="232"/>
      <c r="K8" s="415">
        <f>+E8-I8</f>
        <v>-17377707.434159696</v>
      </c>
      <c r="L8" s="22"/>
      <c r="M8" s="18"/>
      <c r="N8" s="21"/>
    </row>
    <row r="9" spans="1:14">
      <c r="A9" s="60" t="s">
        <v>374</v>
      </c>
      <c r="B9" s="91"/>
      <c r="C9" s="405"/>
      <c r="D9" s="405"/>
      <c r="E9" s="405"/>
      <c r="F9" s="232"/>
      <c r="G9" s="405"/>
      <c r="H9" s="405"/>
      <c r="I9" s="405"/>
      <c r="J9" s="232"/>
      <c r="K9" s="405"/>
      <c r="L9" s="22"/>
      <c r="M9" s="18"/>
      <c r="N9" s="21"/>
    </row>
    <row r="10" spans="1:14">
      <c r="A10" s="99" t="s">
        <v>280</v>
      </c>
      <c r="B10" s="91"/>
      <c r="C10" s="405">
        <f>'Rail-Sum'!B10</f>
        <v>26381906.888851143</v>
      </c>
      <c r="D10" s="405">
        <f>C10*$D$6</f>
        <v>1319095.3444425573</v>
      </c>
      <c r="E10" s="405">
        <f>C10-D10</f>
        <v>25062811.544408586</v>
      </c>
      <c r="F10" s="232"/>
      <c r="G10" s="405">
        <v>22400317.461881541</v>
      </c>
      <c r="H10" s="405">
        <v>1120015.873094077</v>
      </c>
      <c r="I10" s="405">
        <v>21280301.588787463</v>
      </c>
      <c r="J10" s="232"/>
      <c r="K10" s="405">
        <f>+E10-I10</f>
        <v>3782509.9556211233</v>
      </c>
      <c r="L10" s="22"/>
      <c r="M10" s="18"/>
      <c r="N10" s="21"/>
    </row>
    <row r="11" spans="1:14" ht="12.75" customHeight="1">
      <c r="A11" s="99" t="s">
        <v>690</v>
      </c>
      <c r="B11" s="91"/>
      <c r="C11" s="405">
        <f>'Bus-Sum'!C17</f>
        <v>0</v>
      </c>
      <c r="D11" s="405">
        <f>C11*$D$6</f>
        <v>0</v>
      </c>
      <c r="E11" s="405">
        <f>C11-D11</f>
        <v>0</v>
      </c>
      <c r="F11" s="232"/>
      <c r="G11" s="405">
        <v>3675430.9868481131</v>
      </c>
      <c r="H11" s="405">
        <v>183771.54934240566</v>
      </c>
      <c r="I11" s="405">
        <v>3491659.4375057076</v>
      </c>
      <c r="J11" s="232"/>
      <c r="K11" s="405">
        <f>+E11-I11</f>
        <v>-3491659.4375057076</v>
      </c>
      <c r="L11" s="17"/>
      <c r="M11" s="18"/>
      <c r="N11" s="21"/>
    </row>
    <row r="12" spans="1:14" ht="13.5" thickBot="1">
      <c r="A12" s="414" t="s">
        <v>375</v>
      </c>
      <c r="B12" s="249"/>
      <c r="C12" s="415">
        <f>SUM(C9:C11)</f>
        <v>26381906.888851143</v>
      </c>
      <c r="D12" s="415">
        <f>SUM(D9:D11)</f>
        <v>1319095.3444425573</v>
      </c>
      <c r="E12" s="415">
        <f>SUM(E9:E11)</f>
        <v>25062811.544408586</v>
      </c>
      <c r="F12" s="232"/>
      <c r="G12" s="415">
        <v>26075748.448729653</v>
      </c>
      <c r="H12" s="415">
        <v>1303787.4224364827</v>
      </c>
      <c r="I12" s="415">
        <v>24771961.02629317</v>
      </c>
      <c r="J12" s="232"/>
      <c r="K12" s="415">
        <f>+E12-I12</f>
        <v>290850.51811541617</v>
      </c>
      <c r="L12" s="19"/>
      <c r="M12" s="19"/>
    </row>
    <row r="13" spans="1:14">
      <c r="A13" s="549" t="s">
        <v>817</v>
      </c>
      <c r="B13" s="98"/>
      <c r="C13" s="406"/>
      <c r="D13" s="406"/>
      <c r="E13" s="406"/>
      <c r="F13" s="232"/>
      <c r="G13" s="406"/>
      <c r="H13" s="406"/>
      <c r="I13" s="406"/>
      <c r="J13" s="232"/>
      <c r="K13" s="406"/>
      <c r="L13" s="19"/>
      <c r="M13" s="19"/>
    </row>
    <row r="14" spans="1:14">
      <c r="A14" s="99"/>
      <c r="B14" s="100" t="s">
        <v>689</v>
      </c>
      <c r="C14" s="405">
        <f>'Essbase Download'!C195</f>
        <v>1061617.1469340576</v>
      </c>
      <c r="D14" s="405">
        <f>C14*$D$6</f>
        <v>53080.857346702884</v>
      </c>
      <c r="E14" s="405">
        <f>C14-D14</f>
        <v>1008536.2895873548</v>
      </c>
      <c r="F14" s="232"/>
      <c r="G14" s="405">
        <v>703141.08061730885</v>
      </c>
      <c r="H14" s="405">
        <v>35157.054030865445</v>
      </c>
      <c r="I14" s="405">
        <v>667984.02658644342</v>
      </c>
      <c r="J14" s="232"/>
      <c r="K14" s="405">
        <f>+E14-I14</f>
        <v>340552.26300091133</v>
      </c>
      <c r="L14" s="19"/>
      <c r="M14" s="19"/>
    </row>
    <row r="15" spans="1:14">
      <c r="A15" s="99"/>
      <c r="B15" s="100" t="s">
        <v>12</v>
      </c>
      <c r="C15" s="405">
        <f>+'Essbase Download'!C231</f>
        <v>1418353.2215535692</v>
      </c>
      <c r="D15" s="405">
        <f>C15*$D$6</f>
        <v>70917.661077678466</v>
      </c>
      <c r="E15" s="405">
        <f>C15-D15</f>
        <v>1347435.5604758908</v>
      </c>
      <c r="F15" s="232"/>
      <c r="G15" s="405">
        <v>1317504.9001341541</v>
      </c>
      <c r="H15" s="405">
        <v>65875.245006707715</v>
      </c>
      <c r="I15" s="405">
        <v>1251629.6551274464</v>
      </c>
      <c r="J15" s="232"/>
      <c r="K15" s="405">
        <f>+E15-I15</f>
        <v>95805.905348444358</v>
      </c>
      <c r="L15" s="19"/>
      <c r="M15" s="19"/>
    </row>
    <row r="16" spans="1:14">
      <c r="A16" s="99"/>
      <c r="B16" s="100" t="s">
        <v>834</v>
      </c>
      <c r="C16" s="405">
        <f>'Essbase Download'!C313</f>
        <v>3943523.6443638434</v>
      </c>
      <c r="D16" s="405">
        <f>C16*$D$6</f>
        <v>197176.18221819217</v>
      </c>
      <c r="E16" s="405">
        <f>C16-D16</f>
        <v>3746347.4621456512</v>
      </c>
      <c r="F16" s="232"/>
      <c r="G16" s="405">
        <v>4391213.2347694105</v>
      </c>
      <c r="H16" s="405">
        <v>219560.66173847055</v>
      </c>
      <c r="I16" s="405">
        <v>4171652.5730309398</v>
      </c>
      <c r="J16" s="232"/>
      <c r="K16" s="405">
        <f>+E16-I16</f>
        <v>-425305.11088528857</v>
      </c>
      <c r="L16" s="19"/>
      <c r="M16" s="19"/>
    </row>
    <row r="17" spans="1:13">
      <c r="A17" s="99"/>
      <c r="B17" s="100" t="s">
        <v>836</v>
      </c>
      <c r="C17" s="405">
        <f>'Essbase Download'!C322</f>
        <v>-2000000.1026719967</v>
      </c>
      <c r="D17" s="405">
        <f>C17*$D$6</f>
        <v>-100000.00513359984</v>
      </c>
      <c r="E17" s="405">
        <f>C17-D17</f>
        <v>-1900000.0975383969</v>
      </c>
      <c r="F17" s="232"/>
      <c r="G17" s="405">
        <v>-1999999.5966666667</v>
      </c>
      <c r="H17" s="405">
        <v>-99999.979833333346</v>
      </c>
      <c r="I17" s="405">
        <v>-1899999.6168333334</v>
      </c>
      <c r="J17" s="232"/>
      <c r="K17" s="405">
        <f>+E17-I17</f>
        <v>-0.48070506355725229</v>
      </c>
      <c r="L17" s="19"/>
      <c r="M17" s="19"/>
    </row>
    <row r="18" spans="1:13" ht="13.5" thickBot="1">
      <c r="A18" s="414" t="s">
        <v>384</v>
      </c>
      <c r="B18" s="249"/>
      <c r="C18" s="415">
        <f>SUM(C14:C17)</f>
        <v>4423493.9101794735</v>
      </c>
      <c r="D18" s="415">
        <f>SUM(D14:D17)</f>
        <v>221174.69550897367</v>
      </c>
      <c r="E18" s="415">
        <f>SUM(E14:E17)</f>
        <v>4202319.2146704998</v>
      </c>
      <c r="F18" s="232"/>
      <c r="G18" s="415">
        <v>4411859.618854207</v>
      </c>
      <c r="H18" s="415">
        <v>220592.98094271036</v>
      </c>
      <c r="I18" s="415">
        <v>4191266.6379114962</v>
      </c>
      <c r="J18" s="232"/>
      <c r="K18" s="415">
        <f>SUM(K14:K17)</f>
        <v>11052.576759003568</v>
      </c>
      <c r="L18" s="19"/>
      <c r="M18" s="19"/>
    </row>
    <row r="19" spans="1:13" ht="13.5" thickBot="1">
      <c r="A19" s="794" t="s">
        <v>368</v>
      </c>
      <c r="B19" s="795"/>
      <c r="C19" s="416">
        <f>'Essbase Download'!C337</f>
        <v>1023341.956085511</v>
      </c>
      <c r="D19" s="416">
        <v>0</v>
      </c>
      <c r="E19" s="416">
        <f>C19-D19</f>
        <v>1023341.956085511</v>
      </c>
      <c r="F19" s="232"/>
      <c r="G19" s="416">
        <v>1023619.6453006071</v>
      </c>
      <c r="H19" s="416">
        <v>0</v>
      </c>
      <c r="I19" s="416">
        <v>1023619.6453006071</v>
      </c>
      <c r="J19" s="232"/>
      <c r="K19" s="416">
        <f>+E19-I19</f>
        <v>-277.68921509606298</v>
      </c>
      <c r="L19" s="19"/>
      <c r="M19" s="19"/>
    </row>
    <row r="20" spans="1:13" ht="13.5" thickBot="1">
      <c r="A20" s="55" t="s">
        <v>739</v>
      </c>
      <c r="B20" s="56"/>
      <c r="C20" s="407">
        <f>C8+C18+C19+C12</f>
        <v>32889637.687522747</v>
      </c>
      <c r="D20" s="407">
        <f>D8+D18+D19+D12</f>
        <v>1593314.7865718617</v>
      </c>
      <c r="E20" s="407">
        <f>E8+E18+E19+E12</f>
        <v>31296322.900950883</v>
      </c>
      <c r="F20" s="232"/>
      <c r="G20" s="407">
        <v>50864446.26019603</v>
      </c>
      <c r="H20" s="407">
        <v>2492041.3307447713</v>
      </c>
      <c r="I20" s="407">
        <v>48372404.929451257</v>
      </c>
      <c r="J20" s="232"/>
      <c r="K20" s="407">
        <f>K8+K18+K19+K12</f>
        <v>-17076082.028500374</v>
      </c>
    </row>
    <row r="21" spans="1:13">
      <c r="A21" s="19"/>
      <c r="B21" s="19"/>
      <c r="C21" s="19"/>
      <c r="D21" s="19"/>
      <c r="E21" s="19"/>
      <c r="G21" s="19"/>
      <c r="H21" s="19"/>
      <c r="I21" s="19"/>
      <c r="J21" s="19"/>
      <c r="K21" s="19"/>
    </row>
    <row r="22" spans="1:13">
      <c r="A22" s="573" t="s">
        <v>591</v>
      </c>
      <c r="B22" s="572"/>
      <c r="C22" s="574">
        <f>C8+C12+C18+paratransit</f>
        <v>32889637.687522747</v>
      </c>
      <c r="D22" s="19"/>
      <c r="E22" s="19"/>
      <c r="G22" s="604">
        <v>50864446.26019603</v>
      </c>
      <c r="H22" s="19"/>
      <c r="I22" s="19"/>
      <c r="J22" s="19"/>
      <c r="K22" s="19"/>
    </row>
    <row r="23" spans="1:13">
      <c r="A23" s="19"/>
      <c r="B23" s="19"/>
      <c r="C23" s="19"/>
      <c r="D23" s="19"/>
      <c r="E23" s="19"/>
      <c r="G23" s="19"/>
      <c r="H23" s="19"/>
      <c r="I23" s="19"/>
      <c r="J23" s="19"/>
      <c r="K23" s="19"/>
    </row>
    <row r="24" spans="1:13">
      <c r="A24" s="19"/>
      <c r="B24" s="19"/>
      <c r="C24" s="19"/>
      <c r="D24" s="19"/>
      <c r="E24" s="19"/>
      <c r="G24" s="19"/>
      <c r="H24" s="19"/>
      <c r="I24" s="19"/>
      <c r="J24" s="19"/>
      <c r="K24" s="19"/>
    </row>
    <row r="25" spans="1:13">
      <c r="A25" s="408" t="s">
        <v>697</v>
      </c>
      <c r="B25" s="408"/>
      <c r="C25" s="409" t="s">
        <v>261</v>
      </c>
      <c r="D25" s="410"/>
      <c r="E25" s="409">
        <f>D20+E20</f>
        <v>32889637.687522743</v>
      </c>
      <c r="F25" s="409"/>
      <c r="G25" s="409" t="s">
        <v>261</v>
      </c>
      <c r="H25" s="410"/>
      <c r="I25" s="409">
        <f>H20+I20</f>
        <v>50864446.26019603</v>
      </c>
      <c r="J25" s="409"/>
      <c r="K25" s="409"/>
    </row>
    <row r="26" spans="1:13">
      <c r="A26" s="408"/>
      <c r="B26" s="408"/>
      <c r="C26" s="409" t="s">
        <v>262</v>
      </c>
      <c r="D26" s="410"/>
      <c r="E26" s="409">
        <f>'Essbase Download'!C345</f>
        <v>54951132.340043515</v>
      </c>
      <c r="F26" s="409"/>
      <c r="G26" s="409" t="s">
        <v>262</v>
      </c>
      <c r="H26" s="410"/>
      <c r="I26" s="409">
        <v>50864446.261210307</v>
      </c>
      <c r="J26" s="409"/>
      <c r="K26" s="409"/>
    </row>
    <row r="27" spans="1:13">
      <c r="A27" s="408"/>
      <c r="B27" s="408"/>
      <c r="C27" s="411" t="s">
        <v>264</v>
      </c>
      <c r="D27" s="412"/>
      <c r="E27" s="409">
        <f>E25-E26</f>
        <v>-22061494.652520772</v>
      </c>
      <c r="F27" s="411"/>
      <c r="G27" s="411" t="s">
        <v>264</v>
      </c>
      <c r="H27" s="412"/>
      <c r="I27" s="409">
        <f>I25-I26</f>
        <v>-1.0142773389816284E-3</v>
      </c>
      <c r="J27" s="411"/>
      <c r="K27" s="412"/>
    </row>
    <row r="28" spans="1:13">
      <c r="A28" s="19"/>
      <c r="B28" s="19"/>
      <c r="C28" s="19"/>
      <c r="D28" s="19"/>
      <c r="E28" s="19"/>
      <c r="G28" s="19"/>
      <c r="H28" s="19"/>
      <c r="I28" s="19"/>
      <c r="K28" s="19"/>
    </row>
    <row r="29" spans="1:13">
      <c r="A29" s="19"/>
      <c r="B29" s="19"/>
      <c r="C29" s="19"/>
      <c r="D29" s="19"/>
      <c r="E29" s="19"/>
      <c r="G29" s="19"/>
      <c r="H29" s="19"/>
      <c r="I29" s="19"/>
      <c r="J29" s="19"/>
      <c r="K29" s="19"/>
    </row>
    <row r="30" spans="1:13">
      <c r="A30" s="19"/>
      <c r="B30" s="19"/>
      <c r="C30" s="19"/>
      <c r="D30" s="19"/>
      <c r="E30" s="19"/>
      <c r="G30" s="668"/>
      <c r="H30" s="668"/>
      <c r="I30" s="668"/>
      <c r="J30" s="668"/>
      <c r="K30" s="668"/>
    </row>
    <row r="31" spans="1:13">
      <c r="A31" s="19"/>
      <c r="B31" s="19"/>
      <c r="C31" s="19"/>
      <c r="D31" s="19"/>
      <c r="E31" s="19"/>
      <c r="F31" s="19"/>
      <c r="G31" s="19"/>
      <c r="H31" s="19"/>
      <c r="I31" s="19"/>
      <c r="J31" s="19"/>
      <c r="K31" s="19"/>
    </row>
    <row r="32" spans="1:13">
      <c r="A32" s="19"/>
      <c r="B32" s="19"/>
      <c r="C32" s="18"/>
      <c r="E32" s="23"/>
      <c r="F32" s="19"/>
      <c r="G32" s="19"/>
      <c r="H32" s="19"/>
      <c r="I32" s="19"/>
      <c r="J32" s="19"/>
      <c r="K32" s="19"/>
    </row>
    <row r="33" spans="2:11">
      <c r="B33" s="22"/>
      <c r="C33" s="18"/>
      <c r="E33" s="23"/>
      <c r="F33" s="19"/>
      <c r="G33" s="19"/>
      <c r="H33" s="19"/>
      <c r="I33" s="19"/>
      <c r="J33" s="19"/>
      <c r="K33" s="19"/>
    </row>
    <row r="34" spans="2:11">
      <c r="B34" s="22"/>
      <c r="C34" s="18"/>
      <c r="E34" s="23"/>
      <c r="F34" s="19"/>
      <c r="G34" s="19"/>
      <c r="H34" s="19"/>
      <c r="I34" s="19"/>
      <c r="J34" s="19"/>
      <c r="K34" s="19"/>
    </row>
    <row r="35" spans="2:11">
      <c r="B35" s="22"/>
      <c r="C35" s="18"/>
      <c r="E35" s="23"/>
      <c r="F35" s="19"/>
      <c r="G35" s="19"/>
      <c r="H35" s="19"/>
      <c r="I35" s="19"/>
      <c r="J35" s="19"/>
      <c r="K35" s="19"/>
    </row>
    <row r="36" spans="2:11">
      <c r="B36" s="22"/>
      <c r="C36" s="18"/>
      <c r="E36" s="23"/>
      <c r="F36" s="19"/>
      <c r="G36" s="19"/>
      <c r="H36" s="19"/>
      <c r="I36" s="19"/>
      <c r="J36" s="19"/>
      <c r="K36" s="19"/>
    </row>
    <row r="37" spans="2:11">
      <c r="B37" s="19"/>
      <c r="C37" s="18"/>
      <c r="E37" s="23"/>
      <c r="F37" s="19"/>
      <c r="G37" s="19"/>
      <c r="H37" s="19"/>
      <c r="I37" s="19"/>
      <c r="J37" s="19"/>
      <c r="K37" s="19"/>
    </row>
    <row r="38" spans="2:11">
      <c r="B38" s="19"/>
      <c r="C38" s="18"/>
      <c r="E38" s="23"/>
      <c r="F38" s="19"/>
      <c r="G38" s="19"/>
      <c r="H38" s="19"/>
      <c r="I38" s="19"/>
      <c r="J38" s="19"/>
      <c r="K38" s="19"/>
    </row>
    <row r="39" spans="2:11">
      <c r="B39" s="19"/>
      <c r="C39" s="18"/>
      <c r="E39" s="23"/>
      <c r="F39" s="19"/>
      <c r="G39" s="19"/>
      <c r="H39" s="19"/>
      <c r="I39" s="19"/>
      <c r="J39" s="19"/>
      <c r="K39" s="19"/>
    </row>
    <row r="40" spans="2:11">
      <c r="B40" s="22"/>
      <c r="C40" s="18"/>
      <c r="E40" s="23"/>
      <c r="F40" s="19"/>
      <c r="G40" s="19"/>
      <c r="H40" s="19"/>
      <c r="I40" s="19"/>
      <c r="J40" s="19"/>
      <c r="K40" s="19"/>
    </row>
    <row r="41" spans="2:11">
      <c r="B41" s="19"/>
      <c r="C41" s="18"/>
      <c r="E41" s="23"/>
      <c r="F41" s="19"/>
      <c r="G41" s="19"/>
      <c r="H41" s="19"/>
      <c r="I41" s="19"/>
      <c r="J41" s="19"/>
      <c r="K41" s="19"/>
    </row>
    <row r="42" spans="2:11">
      <c r="B42" s="19"/>
      <c r="C42" s="18"/>
      <c r="E42" s="23"/>
      <c r="F42" s="19"/>
      <c r="G42" s="19"/>
      <c r="H42" s="19"/>
      <c r="I42" s="19"/>
      <c r="J42" s="19"/>
      <c r="K42" s="19"/>
    </row>
    <row r="43" spans="2:11">
      <c r="B43" s="19"/>
      <c r="C43" s="18"/>
      <c r="E43" s="23"/>
      <c r="F43" s="19"/>
      <c r="G43" s="19"/>
      <c r="H43" s="19"/>
      <c r="I43" s="19"/>
      <c r="J43" s="19"/>
      <c r="K43" s="19"/>
    </row>
    <row r="44" spans="2:11">
      <c r="B44" s="19"/>
      <c r="C44" s="18"/>
      <c r="E44" s="23"/>
      <c r="F44" s="19"/>
      <c r="G44" s="19"/>
      <c r="H44" s="19"/>
      <c r="I44" s="19"/>
      <c r="J44" s="19"/>
      <c r="K44" s="19"/>
    </row>
    <row r="45" spans="2:11">
      <c r="B45" s="22"/>
      <c r="C45" s="18"/>
      <c r="E45" s="23"/>
      <c r="F45" s="19"/>
      <c r="G45" s="19"/>
      <c r="H45" s="19"/>
      <c r="I45" s="19"/>
      <c r="J45" s="19"/>
      <c r="K45" s="19"/>
    </row>
    <row r="46" spans="2:11">
      <c r="B46" s="19"/>
      <c r="C46" s="18"/>
      <c r="E46" s="23"/>
      <c r="F46" s="19"/>
      <c r="G46" s="19"/>
      <c r="H46" s="19"/>
      <c r="I46" s="19"/>
      <c r="J46" s="19"/>
      <c r="K46" s="19"/>
    </row>
    <row r="47" spans="2:11">
      <c r="B47" s="19"/>
      <c r="C47" s="18"/>
      <c r="E47" s="23"/>
      <c r="F47" s="19"/>
      <c r="G47" s="19"/>
      <c r="H47" s="19"/>
      <c r="I47" s="19"/>
      <c r="J47" s="19"/>
      <c r="K47" s="19"/>
    </row>
    <row r="48" spans="2:11">
      <c r="B48" s="22"/>
      <c r="C48" s="18"/>
      <c r="E48" s="23"/>
      <c r="F48" s="19"/>
      <c r="G48" s="19"/>
      <c r="H48" s="19"/>
      <c r="I48" s="19"/>
      <c r="J48" s="19"/>
      <c r="K48" s="19"/>
    </row>
    <row r="49" spans="2:11">
      <c r="B49" s="22"/>
      <c r="C49" s="18"/>
      <c r="E49" s="23"/>
      <c r="F49" s="19"/>
      <c r="G49" s="19"/>
      <c r="H49" s="19"/>
      <c r="I49" s="19"/>
      <c r="J49" s="19"/>
      <c r="K49" s="19"/>
    </row>
    <row r="50" spans="2:11">
      <c r="C50" s="21"/>
      <c r="D50" s="23"/>
      <c r="E50" s="23"/>
      <c r="F50" s="19"/>
      <c r="G50" s="19"/>
      <c r="H50" s="19"/>
      <c r="I50" s="19"/>
      <c r="J50" s="19"/>
      <c r="K50" s="19"/>
    </row>
    <row r="51" spans="2:11">
      <c r="D51" s="23"/>
      <c r="E51" s="23"/>
      <c r="F51" s="19"/>
      <c r="G51" s="19"/>
      <c r="H51" s="19"/>
      <c r="I51" s="19"/>
      <c r="J51" s="19"/>
      <c r="K51" s="19"/>
    </row>
    <row r="52" spans="2:11">
      <c r="D52" s="23"/>
      <c r="E52" s="23"/>
      <c r="F52" s="19"/>
      <c r="G52" s="19"/>
      <c r="H52" s="19"/>
      <c r="I52" s="19"/>
      <c r="J52" s="19"/>
      <c r="K52" s="19"/>
    </row>
    <row r="53" spans="2:11">
      <c r="D53" s="23"/>
      <c r="E53" s="23"/>
      <c r="F53" s="19"/>
      <c r="G53" s="19"/>
      <c r="H53" s="19"/>
      <c r="I53" s="19"/>
      <c r="J53" s="19"/>
      <c r="K53" s="19"/>
    </row>
    <row r="54" spans="2:11">
      <c r="D54" s="23"/>
      <c r="E54" s="23"/>
      <c r="F54" s="19"/>
      <c r="G54" s="19"/>
      <c r="H54" s="19"/>
      <c r="I54" s="19"/>
      <c r="J54" s="19"/>
      <c r="K54" s="19"/>
    </row>
    <row r="55" spans="2:11">
      <c r="D55" s="23"/>
      <c r="E55" s="23"/>
      <c r="F55" s="19"/>
      <c r="G55" s="19"/>
      <c r="H55" s="19"/>
      <c r="I55" s="19"/>
      <c r="J55" s="19"/>
      <c r="K55" s="19"/>
    </row>
    <row r="56" spans="2:11">
      <c r="D56" s="23"/>
      <c r="E56" s="23"/>
      <c r="F56" s="19"/>
      <c r="G56" s="19"/>
      <c r="H56" s="19"/>
      <c r="I56" s="19"/>
      <c r="J56" s="19"/>
      <c r="K56" s="19"/>
    </row>
    <row r="57" spans="2:11">
      <c r="D57" s="23"/>
      <c r="E57" s="23"/>
      <c r="F57" s="19"/>
      <c r="G57" s="19"/>
      <c r="H57" s="19"/>
      <c r="I57" s="19"/>
      <c r="J57" s="19"/>
      <c r="K57" s="19"/>
    </row>
    <row r="58" spans="2:11">
      <c r="D58" s="23"/>
      <c r="E58" s="23"/>
      <c r="F58" s="19"/>
      <c r="G58" s="19"/>
      <c r="H58" s="19"/>
      <c r="I58" s="19"/>
      <c r="J58" s="19"/>
      <c r="K58" s="19"/>
    </row>
    <row r="59" spans="2:11">
      <c r="D59" s="23"/>
      <c r="E59" s="23"/>
      <c r="F59" s="19"/>
      <c r="G59" s="19"/>
      <c r="H59" s="19"/>
      <c r="I59" s="19"/>
      <c r="J59" s="19"/>
      <c r="K59" s="19"/>
    </row>
    <row r="60" spans="2:11">
      <c r="D60" s="23"/>
      <c r="E60" s="23"/>
      <c r="F60" s="19"/>
      <c r="G60" s="19"/>
      <c r="H60" s="19"/>
      <c r="I60" s="19"/>
      <c r="J60" s="19"/>
      <c r="K60" s="19"/>
    </row>
    <row r="61" spans="2:11">
      <c r="D61" s="23"/>
      <c r="E61" s="23"/>
      <c r="F61" s="19"/>
      <c r="G61" s="19"/>
      <c r="H61" s="19"/>
      <c r="I61" s="19"/>
      <c r="J61" s="19"/>
      <c r="K61" s="19"/>
    </row>
    <row r="62" spans="2:11">
      <c r="D62" s="23"/>
      <c r="E62" s="23"/>
      <c r="F62" s="19"/>
      <c r="G62" s="19"/>
      <c r="H62" s="19"/>
      <c r="I62" s="19"/>
      <c r="J62" s="19"/>
      <c r="K62" s="19"/>
    </row>
    <row r="63" spans="2:11">
      <c r="D63" s="23"/>
      <c r="E63" s="23"/>
      <c r="F63" s="19"/>
      <c r="G63" s="19"/>
      <c r="H63" s="19"/>
      <c r="I63" s="19"/>
      <c r="J63" s="19"/>
      <c r="K63" s="19"/>
    </row>
    <row r="64" spans="2:11">
      <c r="D64" s="23"/>
      <c r="E64" s="23"/>
      <c r="F64" s="19"/>
      <c r="G64" s="19"/>
      <c r="H64" s="19"/>
      <c r="I64" s="19"/>
      <c r="J64" s="19"/>
      <c r="K64" s="19"/>
    </row>
    <row r="65" spans="4:11">
      <c r="D65" s="23"/>
      <c r="E65" s="23"/>
      <c r="F65" s="19"/>
      <c r="G65" s="19"/>
      <c r="H65" s="19"/>
      <c r="I65" s="19"/>
      <c r="J65" s="19"/>
      <c r="K65" s="19"/>
    </row>
    <row r="66" spans="4:11">
      <c r="D66" s="23"/>
      <c r="E66" s="23"/>
      <c r="F66" s="19"/>
      <c r="G66" s="19"/>
      <c r="H66" s="19"/>
      <c r="I66" s="19"/>
      <c r="J66" s="19"/>
      <c r="K66" s="19"/>
    </row>
    <row r="67" spans="4:11">
      <c r="D67" s="23"/>
      <c r="E67" s="23"/>
      <c r="F67" s="19"/>
      <c r="G67" s="19"/>
      <c r="H67" s="19"/>
      <c r="I67" s="19"/>
      <c r="J67" s="19"/>
      <c r="K67" s="19"/>
    </row>
    <row r="68" spans="4:11">
      <c r="D68" s="23"/>
      <c r="E68" s="23"/>
      <c r="F68" s="19"/>
      <c r="G68" s="19"/>
      <c r="H68" s="19"/>
      <c r="I68" s="19"/>
      <c r="J68" s="19"/>
      <c r="K68" s="19"/>
    </row>
    <row r="69" spans="4:11">
      <c r="D69" s="23"/>
      <c r="E69" s="23"/>
      <c r="F69" s="19"/>
      <c r="G69" s="19"/>
      <c r="H69" s="19"/>
      <c r="I69" s="19"/>
      <c r="J69" s="19"/>
      <c r="K69" s="19"/>
    </row>
    <row r="70" spans="4:11">
      <c r="D70" s="23"/>
      <c r="E70" s="23"/>
      <c r="F70" s="19"/>
      <c r="G70" s="19"/>
      <c r="H70" s="19"/>
      <c r="I70" s="19"/>
      <c r="J70" s="19"/>
      <c r="K70" s="19"/>
    </row>
    <row r="71" spans="4:11">
      <c r="D71" s="23"/>
      <c r="E71" s="23"/>
      <c r="F71" s="19"/>
      <c r="G71" s="19"/>
      <c r="H71" s="19"/>
      <c r="I71" s="19"/>
      <c r="J71" s="19"/>
      <c r="K71" s="19"/>
    </row>
    <row r="72" spans="4:11">
      <c r="D72" s="23"/>
      <c r="E72" s="23"/>
      <c r="F72" s="19"/>
      <c r="G72" s="19"/>
      <c r="H72" s="19"/>
      <c r="I72" s="19"/>
      <c r="J72" s="19"/>
      <c r="K72" s="19"/>
    </row>
    <row r="73" spans="4:11">
      <c r="D73" s="23"/>
      <c r="E73" s="23"/>
      <c r="F73" s="19"/>
      <c r="G73" s="19"/>
      <c r="H73" s="19"/>
      <c r="I73" s="19"/>
      <c r="J73" s="19"/>
      <c r="K73" s="19"/>
    </row>
    <row r="74" spans="4:11">
      <c r="D74" s="23"/>
      <c r="E74" s="23"/>
      <c r="F74" s="19"/>
      <c r="G74" s="19"/>
      <c r="H74" s="19"/>
      <c r="I74" s="19"/>
      <c r="J74" s="19"/>
      <c r="K74" s="19"/>
    </row>
    <row r="75" spans="4:11">
      <c r="D75" s="23"/>
      <c r="E75" s="23"/>
      <c r="F75" s="19"/>
      <c r="G75" s="19"/>
      <c r="H75" s="19"/>
      <c r="I75" s="19"/>
      <c r="J75" s="19"/>
      <c r="K75" s="19"/>
    </row>
    <row r="76" spans="4:11">
      <c r="D76" s="23"/>
      <c r="E76" s="23"/>
      <c r="F76" s="19"/>
      <c r="G76" s="19"/>
      <c r="H76" s="19"/>
      <c r="I76" s="19"/>
      <c r="J76" s="19"/>
      <c r="K76" s="19"/>
    </row>
    <row r="77" spans="4:11">
      <c r="D77" s="23"/>
      <c r="E77" s="23"/>
      <c r="F77" s="19"/>
      <c r="G77" s="19"/>
      <c r="H77" s="19"/>
      <c r="I77" s="19"/>
      <c r="J77" s="19"/>
      <c r="K77" s="19"/>
    </row>
    <row r="78" spans="4:11">
      <c r="D78" s="23"/>
      <c r="E78" s="23"/>
      <c r="F78" s="19"/>
      <c r="G78" s="19"/>
      <c r="H78" s="19"/>
      <c r="I78" s="19"/>
      <c r="J78" s="19"/>
      <c r="K78" s="19"/>
    </row>
    <row r="79" spans="4:11">
      <c r="D79" s="23"/>
      <c r="E79" s="23"/>
      <c r="F79" s="19"/>
      <c r="G79" s="19"/>
      <c r="H79" s="19"/>
      <c r="I79" s="19"/>
      <c r="J79" s="19"/>
      <c r="K79" s="19"/>
    </row>
  </sheetData>
  <mergeCells count="4">
    <mergeCell ref="C4:E4"/>
    <mergeCell ref="A7:B7"/>
    <mergeCell ref="G4:I4"/>
    <mergeCell ref="A19:B19"/>
  </mergeCells>
  <phoneticPr fontId="4" type="noConversion"/>
  <pageMargins left="0.34" right="0.28000000000000003" top="0.35" bottom="0.57999999999999996" header="0.19" footer="0.25"/>
  <pageSetup paperSize="9" orientation="landscape" r:id="rId1"/>
  <headerFooter alignWithMargins="0">
    <oddFooter>&amp;L&amp;BGreater Wellington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5"/>
    <pageSetUpPr fitToPage="1"/>
  </sheetPr>
  <dimension ref="A1:R59"/>
  <sheetViews>
    <sheetView workbookViewId="0">
      <pane xSplit="1" ySplit="6" topLeftCell="B7" activePane="bottomRight" state="frozen"/>
      <selection activeCell="P17" sqref="P17"/>
      <selection pane="topRight" activeCell="P17" sqref="P17"/>
      <selection pane="bottomLeft" activeCell="P17" sqref="P17"/>
      <selection pane="bottomRight" activeCell="J8" sqref="J8"/>
    </sheetView>
  </sheetViews>
  <sheetFormatPr defaultColWidth="8.85546875" defaultRowHeight="12.75" outlineLevelRow="2"/>
  <cols>
    <col min="1" max="1" width="21.28515625" style="3" customWidth="1"/>
    <col min="2" max="2" width="10.140625" style="401" bestFit="1" customWidth="1"/>
    <col min="3" max="3" width="8.7109375" style="401" customWidth="1"/>
    <col min="4" max="4" width="11.85546875" style="401" customWidth="1"/>
    <col min="5" max="5" width="9.140625" style="401" customWidth="1"/>
    <col min="6" max="6" width="1.7109375" style="3" customWidth="1"/>
    <col min="7" max="7" width="10.28515625" style="402" bestFit="1" customWidth="1"/>
    <col min="8" max="8" width="10.28515625" style="403" customWidth="1"/>
    <col min="9" max="9" width="1.7109375" style="403" customWidth="1"/>
    <col min="10" max="11" width="11.42578125" style="401" customWidth="1"/>
    <col min="12" max="12" width="1.7109375" style="3" customWidth="1"/>
    <col min="13" max="13" width="12.28515625" style="3" bestFit="1" customWidth="1"/>
    <col min="14" max="14" width="12.5703125" style="3" bestFit="1" customWidth="1"/>
    <col min="15" max="15" width="11.5703125" style="3" customWidth="1"/>
    <col min="16" max="16" width="1.28515625" style="3" customWidth="1"/>
    <col min="17" max="18" width="12.7109375" style="3" customWidth="1"/>
    <col min="19" max="16384" width="8.85546875" style="3"/>
  </cols>
  <sheetData>
    <row r="1" spans="1:18" ht="15.75">
      <c r="A1" s="482" t="s">
        <v>543</v>
      </c>
      <c r="B1" s="143"/>
      <c r="C1" s="143"/>
      <c r="D1" s="143"/>
      <c r="E1" s="143"/>
      <c r="F1" s="37"/>
      <c r="G1" s="82"/>
      <c r="H1" s="144"/>
      <c r="I1" s="144"/>
      <c r="J1" s="143"/>
      <c r="K1" s="143"/>
      <c r="L1" s="37"/>
      <c r="M1" s="37"/>
      <c r="N1" s="37"/>
      <c r="O1" s="37"/>
      <c r="P1" s="37"/>
      <c r="Q1" s="37"/>
      <c r="R1" s="37"/>
    </row>
    <row r="2" spans="1:18" ht="15.75">
      <c r="A2" s="482" t="str">
        <f>'Rate Summary'!A2</f>
        <v>Final Public Transport Rate 2015/16</v>
      </c>
      <c r="B2" s="143"/>
      <c r="C2" s="143"/>
      <c r="D2" s="143"/>
      <c r="E2" s="143"/>
      <c r="F2" s="37"/>
      <c r="G2" s="82"/>
      <c r="H2" s="144"/>
      <c r="I2" s="144"/>
      <c r="J2" s="143"/>
      <c r="K2" s="143"/>
      <c r="L2" s="37"/>
      <c r="M2" s="37"/>
      <c r="N2" s="37"/>
      <c r="O2" s="37"/>
      <c r="P2" s="37"/>
      <c r="Q2" s="37"/>
      <c r="R2" s="37"/>
    </row>
    <row r="3" spans="1:18" ht="16.5" thickBot="1">
      <c r="A3" s="482" t="s">
        <v>1165</v>
      </c>
      <c r="B3" s="143"/>
      <c r="C3" s="143"/>
      <c r="D3" s="143"/>
      <c r="E3" s="143"/>
      <c r="F3" s="37"/>
      <c r="G3" s="82"/>
      <c r="H3" s="144"/>
      <c r="I3" s="144"/>
      <c r="J3" s="143"/>
      <c r="K3" s="143"/>
      <c r="L3" s="37"/>
      <c r="M3" s="37"/>
      <c r="N3" s="37"/>
      <c r="O3" s="37"/>
      <c r="P3" s="37"/>
      <c r="Q3" s="37"/>
      <c r="R3" s="37"/>
    </row>
    <row r="4" spans="1:18" s="2" customFormat="1" ht="16.149999999999999" customHeight="1" thickBot="1">
      <c r="A4" s="59"/>
      <c r="B4" s="798" t="s">
        <v>278</v>
      </c>
      <c r="C4" s="799"/>
      <c r="D4" s="799"/>
      <c r="E4" s="800"/>
      <c r="F4" s="799" t="s">
        <v>791</v>
      </c>
      <c r="G4" s="799"/>
      <c r="H4" s="800"/>
      <c r="I4" s="144"/>
      <c r="J4" s="801" t="s">
        <v>542</v>
      </c>
      <c r="K4" s="802"/>
      <c r="L4" s="36"/>
      <c r="M4" s="803" t="s">
        <v>476</v>
      </c>
      <c r="N4" s="804"/>
      <c r="O4" s="804"/>
      <c r="P4" s="804"/>
      <c r="Q4" s="804"/>
      <c r="R4" s="805"/>
    </row>
    <row r="5" spans="1:18" s="2" customFormat="1" ht="39" thickBot="1">
      <c r="A5" s="60"/>
      <c r="B5" s="808" t="s">
        <v>1098</v>
      </c>
      <c r="C5" s="809"/>
      <c r="D5" s="810" t="s">
        <v>1166</v>
      </c>
      <c r="E5" s="811"/>
      <c r="F5" s="806" t="s">
        <v>220</v>
      </c>
      <c r="G5" s="806"/>
      <c r="H5" s="807"/>
      <c r="I5" s="144"/>
      <c r="J5" s="561" t="s">
        <v>1099</v>
      </c>
      <c r="K5" s="562" t="s">
        <v>1167</v>
      </c>
      <c r="L5" s="36"/>
      <c r="M5" s="565" t="s">
        <v>541</v>
      </c>
      <c r="N5" s="566" t="s">
        <v>795</v>
      </c>
      <c r="O5" s="567" t="s">
        <v>477</v>
      </c>
      <c r="P5" s="84"/>
      <c r="Q5" s="796" t="s">
        <v>757</v>
      </c>
      <c r="R5" s="797"/>
    </row>
    <row r="6" spans="1:18" ht="13.5" thickBot="1">
      <c r="A6" s="99"/>
      <c r="B6" s="555" t="s">
        <v>798</v>
      </c>
      <c r="C6" s="556" t="s">
        <v>376</v>
      </c>
      <c r="D6" s="557" t="s">
        <v>798</v>
      </c>
      <c r="E6" s="558" t="s">
        <v>376</v>
      </c>
      <c r="F6" s="560"/>
      <c r="G6" s="554" t="s">
        <v>798</v>
      </c>
      <c r="H6" s="559" t="s">
        <v>478</v>
      </c>
      <c r="I6" s="144"/>
      <c r="J6" s="555" t="s">
        <v>798</v>
      </c>
      <c r="K6" s="571" t="s">
        <v>798</v>
      </c>
      <c r="L6" s="37"/>
      <c r="M6" s="568" t="s">
        <v>752</v>
      </c>
      <c r="N6" s="569"/>
      <c r="O6" s="570" t="s">
        <v>752</v>
      </c>
      <c r="P6" s="85"/>
      <c r="Q6" s="563" t="s">
        <v>1099</v>
      </c>
      <c r="R6" s="564" t="s">
        <v>1167</v>
      </c>
    </row>
    <row r="7" spans="1:18">
      <c r="A7" s="62" t="s">
        <v>799</v>
      </c>
      <c r="B7" s="63">
        <v>30918202.731233671</v>
      </c>
      <c r="C7" s="64">
        <v>0.60785489677941718</v>
      </c>
      <c r="D7" s="65">
        <f>D8+D11+D12</f>
        <v>16729989.710443255</v>
      </c>
      <c r="E7" s="64">
        <f>D7/D$56</f>
        <v>0.50867053840456466</v>
      </c>
      <c r="F7" s="91"/>
      <c r="G7" s="66">
        <f t="shared" ref="G7:G12" si="0">D7-B7</f>
        <v>-14188213.020790417</v>
      </c>
      <c r="H7" s="598">
        <f t="shared" ref="H7:H12" si="1">G7/B7</f>
        <v>-0.45889514161369532</v>
      </c>
      <c r="I7" s="144"/>
      <c r="J7" s="86">
        <v>65.670928506083825</v>
      </c>
      <c r="K7" s="87">
        <f>D7/('RCV and ECV'!$B9/100000)</f>
        <v>35.492201263553376</v>
      </c>
      <c r="L7" s="37"/>
      <c r="M7" s="88">
        <f>'RCV and ECV'!$B$9/1000</f>
        <v>47137086.781999998</v>
      </c>
      <c r="N7" s="89">
        <f>N8+N9+N10+N12</f>
        <v>75507</v>
      </c>
      <c r="O7" s="90">
        <f t="shared" ref="O7:O12" si="2">M7/N7</f>
        <v>624.27439551299881</v>
      </c>
      <c r="P7" s="91"/>
      <c r="Q7" s="92">
        <v>410.60030187561318</v>
      </c>
      <c r="R7" s="93">
        <f t="shared" ref="R7:R12" si="3">D7/N7</f>
        <v>221.56872489230474</v>
      </c>
    </row>
    <row r="8" spans="1:18" outlineLevel="1">
      <c r="A8" s="67" t="s">
        <v>800</v>
      </c>
      <c r="B8" s="68">
        <v>19446167.161516499</v>
      </c>
      <c r="C8" s="69"/>
      <c r="D8" s="70">
        <f>'Rates Allocation'!Q11</f>
        <v>12845590.917688336</v>
      </c>
      <c r="E8" s="71"/>
      <c r="F8" s="91"/>
      <c r="G8" s="72">
        <f t="shared" si="0"/>
        <v>-6600576.2438281626</v>
      </c>
      <c r="H8" s="598">
        <f t="shared" si="1"/>
        <v>-0.3394281345524246</v>
      </c>
      <c r="I8" s="374"/>
      <c r="J8" s="45">
        <v>265.1297997550285</v>
      </c>
      <c r="K8" s="46">
        <f>D8/('RCV and ECV'!$B10/100000)</f>
        <v>177.78026670572419</v>
      </c>
      <c r="L8" s="37"/>
      <c r="M8" s="375">
        <f>'RCV and ECV'!$B$10/1000</f>
        <v>7225543.7319999998</v>
      </c>
      <c r="N8" s="376">
        <f>+'RCV and ECV'!D10</f>
        <v>3437</v>
      </c>
      <c r="O8" s="377">
        <f t="shared" si="2"/>
        <v>2102.2821448938025</v>
      </c>
      <c r="P8" s="91"/>
      <c r="Q8" s="378">
        <v>5626.7844796054687</v>
      </c>
      <c r="R8" s="379">
        <f t="shared" si="3"/>
        <v>3737.4428040990215</v>
      </c>
    </row>
    <row r="9" spans="1:18" outlineLevel="2">
      <c r="A9" s="67" t="s">
        <v>801</v>
      </c>
      <c r="B9" s="68">
        <v>1015198.3861216271</v>
      </c>
      <c r="C9" s="69"/>
      <c r="D9" s="70">
        <f>'Rates Allocation'!Q12</f>
        <v>338705.43395838013</v>
      </c>
      <c r="E9" s="71"/>
      <c r="F9" s="91"/>
      <c r="G9" s="72">
        <f t="shared" si="0"/>
        <v>-676492.95216324693</v>
      </c>
      <c r="H9" s="598">
        <f t="shared" si="1"/>
        <v>-0.6663652754095285</v>
      </c>
      <c r="I9" s="144"/>
      <c r="J9" s="45">
        <v>29.157614334724748</v>
      </c>
      <c r="K9" s="46">
        <f>D9/('RCV and ECV'!$B11/100000)</f>
        <v>9.8293234851993176</v>
      </c>
      <c r="L9" s="37"/>
      <c r="M9" s="375">
        <f>'RCV and ECV'!$B$11/1000</f>
        <v>3445867.2</v>
      </c>
      <c r="N9" s="376">
        <f>+'RCV and ECV'!D11</f>
        <v>1920</v>
      </c>
      <c r="O9" s="377">
        <f t="shared" si="2"/>
        <v>1794.7225000000001</v>
      </c>
      <c r="P9" s="91"/>
      <c r="Q9" s="378">
        <v>530.12970554654157</v>
      </c>
      <c r="R9" s="379">
        <f t="shared" si="3"/>
        <v>176.40908018665633</v>
      </c>
    </row>
    <row r="10" spans="1:18" outlineLevel="2">
      <c r="A10" s="67" t="s">
        <v>802</v>
      </c>
      <c r="B10" s="68">
        <v>10416266.641402105</v>
      </c>
      <c r="C10" s="69"/>
      <c r="D10" s="70">
        <f>'Rates Allocation'!Q13</f>
        <v>3531221.4401394473</v>
      </c>
      <c r="E10" s="71"/>
      <c r="F10" s="91"/>
      <c r="G10" s="72">
        <f t="shared" si="0"/>
        <v>-6885045.2012626575</v>
      </c>
      <c r="H10" s="598">
        <f t="shared" si="1"/>
        <v>-0.66098972292973879</v>
      </c>
      <c r="I10" s="144"/>
      <c r="J10" s="47">
        <v>29.157614336923807</v>
      </c>
      <c r="K10" s="48">
        <f>D10/('RCV and ECV'!$B12/100000)</f>
        <v>9.8293234856631724</v>
      </c>
      <c r="L10" s="37"/>
      <c r="M10" s="380">
        <f>'RCV and ECV'!$B$12/1000</f>
        <v>35925376.200000003</v>
      </c>
      <c r="N10" s="381">
        <f>+'RCV and ECV'!D12</f>
        <v>69418</v>
      </c>
      <c r="O10" s="382">
        <f t="shared" si="2"/>
        <v>517.52248984413268</v>
      </c>
      <c r="P10" s="91"/>
      <c r="Q10" s="383">
        <v>150.50885952869081</v>
      </c>
      <c r="R10" s="384">
        <f t="shared" si="3"/>
        <v>50.868959637838131</v>
      </c>
    </row>
    <row r="11" spans="1:18" outlineLevel="1">
      <c r="A11" s="67" t="s">
        <v>808</v>
      </c>
      <c r="B11" s="68">
        <v>11431465.027523732</v>
      </c>
      <c r="C11" s="69"/>
      <c r="D11" s="70">
        <f>'Rates Allocation'!Q14</f>
        <v>3869926.8740978274</v>
      </c>
      <c r="E11" s="71"/>
      <c r="F11" s="91"/>
      <c r="G11" s="72">
        <f t="shared" si="0"/>
        <v>-7561538.153425904</v>
      </c>
      <c r="H11" s="598">
        <f t="shared" si="1"/>
        <v>-0.66146711162741267</v>
      </c>
      <c r="I11" s="144"/>
      <c r="J11" s="47">
        <v>29.157614336728514</v>
      </c>
      <c r="K11" s="48">
        <f>D11/(('RCV and ECV'!B11+'RCV and ECV'!B12)/100000)</f>
        <v>9.8293234856225737</v>
      </c>
      <c r="L11" s="37"/>
      <c r="M11" s="380">
        <f>M9+M10</f>
        <v>39371243.400000006</v>
      </c>
      <c r="N11" s="381">
        <f>N9+N10</f>
        <v>71338</v>
      </c>
      <c r="O11" s="382">
        <f t="shared" si="2"/>
        <v>551.89721326642189</v>
      </c>
      <c r="P11" s="91"/>
      <c r="Q11" s="383">
        <v>160.73036511239465</v>
      </c>
      <c r="R11" s="384">
        <f t="shared" si="3"/>
        <v>54.247762400092903</v>
      </c>
    </row>
    <row r="12" spans="1:18" outlineLevel="1">
      <c r="A12" s="67" t="s">
        <v>803</v>
      </c>
      <c r="B12" s="68">
        <v>40570.542193442059</v>
      </c>
      <c r="C12" s="69"/>
      <c r="D12" s="70">
        <f>'Rates Allocation'!Q15</f>
        <v>14471.918657089755</v>
      </c>
      <c r="E12" s="71"/>
      <c r="F12" s="91"/>
      <c r="G12" s="72">
        <f t="shared" si="0"/>
        <v>-26098.623536352305</v>
      </c>
      <c r="H12" s="598">
        <f t="shared" si="1"/>
        <v>-0.64328998641213531</v>
      </c>
      <c r="I12" s="144"/>
      <c r="J12" s="49">
        <v>7.5108984222310848</v>
      </c>
      <c r="K12" s="52">
        <f>D12/('RCV and ECV'!$B13/100000)</f>
        <v>2.6784986177743693</v>
      </c>
      <c r="L12" s="37"/>
      <c r="M12" s="385">
        <f>'RCV and ECV'!$B$13/1000</f>
        <v>540299.65</v>
      </c>
      <c r="N12" s="386">
        <f>+'RCV and ECV'!D13</f>
        <v>732</v>
      </c>
      <c r="O12" s="387">
        <f t="shared" si="2"/>
        <v>738.11427595628413</v>
      </c>
      <c r="P12" s="91"/>
      <c r="Q12" s="388">
        <v>56.191886694518089</v>
      </c>
      <c r="R12" s="389">
        <f t="shared" si="3"/>
        <v>19.770380679084365</v>
      </c>
    </row>
    <row r="13" spans="1:18">
      <c r="A13" s="73"/>
      <c r="B13" s="68"/>
      <c r="C13" s="69"/>
      <c r="D13" s="38"/>
      <c r="E13" s="74"/>
      <c r="F13" s="91"/>
      <c r="G13" s="72"/>
      <c r="H13" s="598"/>
      <c r="I13" s="144"/>
      <c r="J13" s="43"/>
      <c r="K13" s="44"/>
      <c r="L13" s="37"/>
      <c r="M13" s="390"/>
      <c r="N13" s="391"/>
      <c r="O13" s="392"/>
      <c r="P13" s="91"/>
      <c r="Q13" s="393"/>
      <c r="R13" s="394"/>
    </row>
    <row r="14" spans="1:18">
      <c r="A14" s="62" t="s">
        <v>279</v>
      </c>
      <c r="B14" s="63">
        <v>8831867.1292931885</v>
      </c>
      <c r="C14" s="64">
        <v>0.17363537359895659</v>
      </c>
      <c r="D14" s="65">
        <f>D17+D18</f>
        <v>6795089.5622578198</v>
      </c>
      <c r="E14" s="64">
        <f>D14/D$56</f>
        <v>0.20660274907302051</v>
      </c>
      <c r="F14" s="91"/>
      <c r="G14" s="66">
        <f>D14-B14</f>
        <v>-2036777.5670353686</v>
      </c>
      <c r="H14" s="598">
        <f>G14/B14</f>
        <v>-0.2306168715197113</v>
      </c>
      <c r="I14" s="144"/>
      <c r="J14" s="43">
        <v>52.27943963963574</v>
      </c>
      <c r="K14" s="44">
        <f>D14/('RCV and ECV'!$B15/100000)</f>
        <v>39.979008574591916</v>
      </c>
      <c r="L14" s="37"/>
      <c r="M14" s="29">
        <f>'RCV and ECV'!$B$15/1000</f>
        <v>16996643.5</v>
      </c>
      <c r="N14" s="30">
        <f>N15+N16+N18</f>
        <v>38547</v>
      </c>
      <c r="O14" s="25">
        <f t="shared" ref="O14:O56" si="4">M14/N14</f>
        <v>440.93297792305498</v>
      </c>
      <c r="P14" s="94"/>
      <c r="Q14" s="27">
        <v>229.33957749398047</v>
      </c>
      <c r="R14" s="41">
        <f>D14/N14</f>
        <v>176.28063305206163</v>
      </c>
    </row>
    <row r="15" spans="1:18" outlineLevel="2">
      <c r="A15" s="67" t="s">
        <v>801</v>
      </c>
      <c r="B15" s="68">
        <v>1745006.2783406945</v>
      </c>
      <c r="C15" s="69"/>
      <c r="D15" s="70">
        <f>'Rates Allocation'!Q18</f>
        <v>1331924.9358818019</v>
      </c>
      <c r="E15" s="71"/>
      <c r="F15" s="91"/>
      <c r="G15" s="72">
        <f>D15-B15</f>
        <v>-413081.34245889261</v>
      </c>
      <c r="H15" s="598">
        <f>G15/B15</f>
        <v>-0.23672198065194738</v>
      </c>
      <c r="I15" s="144"/>
      <c r="J15" s="45">
        <v>52.907476022029883</v>
      </c>
      <c r="K15" s="46">
        <f>D15/('RCV and ECV'!$B16/100000)</f>
        <v>40.461344126928246</v>
      </c>
      <c r="L15" s="37"/>
      <c r="M15" s="375">
        <f>'RCV and ECV'!$B$16/1000</f>
        <v>3291845.5</v>
      </c>
      <c r="N15" s="376">
        <f>+'RCV and ECV'!D16</f>
        <v>2320</v>
      </c>
      <c r="O15" s="377">
        <f t="shared" si="4"/>
        <v>1418.8989224137931</v>
      </c>
      <c r="P15" s="91"/>
      <c r="Q15" s="378">
        <v>747.64622036876369</v>
      </c>
      <c r="R15" s="379">
        <f>D15/N15</f>
        <v>574.10557581112153</v>
      </c>
    </row>
    <row r="16" spans="1:18" outlineLevel="2">
      <c r="A16" s="67" t="s">
        <v>802</v>
      </c>
      <c r="B16" s="68">
        <v>7050351.0531781623</v>
      </c>
      <c r="C16" s="69"/>
      <c r="D16" s="70">
        <f>'Rates Allocation'!Q19</f>
        <v>5434686.4158273069</v>
      </c>
      <c r="E16" s="71"/>
      <c r="F16" s="91"/>
      <c r="G16" s="72">
        <f>D16-B16</f>
        <v>-1615664.6373508554</v>
      </c>
      <c r="H16" s="598">
        <f>G16/B16</f>
        <v>-0.22916087797111109</v>
      </c>
      <c r="I16" s="144"/>
      <c r="J16" s="47">
        <v>52.907476022029897</v>
      </c>
      <c r="K16" s="48">
        <f>D16/('RCV and ECV'!$B17/100000)</f>
        <v>40.461344126928246</v>
      </c>
      <c r="L16" s="37"/>
      <c r="M16" s="380">
        <f>'RCV and ECV'!$B$17/1000</f>
        <v>13431799</v>
      </c>
      <c r="N16" s="381">
        <f>+'RCV and ECV'!D17</f>
        <v>35745</v>
      </c>
      <c r="O16" s="382">
        <f t="shared" si="4"/>
        <v>375.76721219751016</v>
      </c>
      <c r="P16" s="91"/>
      <c r="Q16" s="383">
        <v>197.52202199748311</v>
      </c>
      <c r="R16" s="384">
        <f>D16/N16</f>
        <v>152.04046484339926</v>
      </c>
    </row>
    <row r="17" spans="1:18" outlineLevel="1">
      <c r="A17" s="67" t="s">
        <v>808</v>
      </c>
      <c r="B17" s="68">
        <v>8795357.3315188568</v>
      </c>
      <c r="C17" s="69"/>
      <c r="D17" s="70">
        <f>D16+D15</f>
        <v>6766611.3517091088</v>
      </c>
      <c r="E17" s="71"/>
      <c r="F17" s="91"/>
      <c r="G17" s="72">
        <f>D17-B17</f>
        <v>-2028745.979809748</v>
      </c>
      <c r="H17" s="598">
        <f>G17/B17</f>
        <v>-0.23066100709059048</v>
      </c>
      <c r="I17" s="144"/>
      <c r="J17" s="47">
        <v>52.90747602202989</v>
      </c>
      <c r="K17" s="48">
        <f>D17/(('RCV and ECV'!B16+'RCV and ECV'!B17)/100000)</f>
        <v>40.461344126928246</v>
      </c>
      <c r="L17" s="37"/>
      <c r="M17" s="380">
        <f>M15+M16</f>
        <v>16723644.5</v>
      </c>
      <c r="N17" s="381">
        <f>N15+N16</f>
        <v>38065</v>
      </c>
      <c r="O17" s="382">
        <f>M17/N17</f>
        <v>439.34439774070671</v>
      </c>
      <c r="P17" s="91"/>
      <c r="Q17" s="383">
        <v>231.28635036075673</v>
      </c>
      <c r="R17" s="384">
        <f>D17/N17</f>
        <v>177.76464867224772</v>
      </c>
    </row>
    <row r="18" spans="1:18" outlineLevel="1">
      <c r="A18" s="67" t="s">
        <v>803</v>
      </c>
      <c r="B18" s="68">
        <v>36509.797774331761</v>
      </c>
      <c r="C18" s="69"/>
      <c r="D18" s="70">
        <f>'Rates Allocation'!Q21</f>
        <v>28478.21054871138</v>
      </c>
      <c r="E18" s="71"/>
      <c r="F18" s="91"/>
      <c r="G18" s="72">
        <f>D18-B18</f>
        <v>-8031.5872256203802</v>
      </c>
      <c r="H18" s="598">
        <f>G18/B18</f>
        <v>-0.21998443473348936</v>
      </c>
      <c r="I18" s="144"/>
      <c r="J18" s="49">
        <v>13.545148993506292</v>
      </c>
      <c r="K18" s="52">
        <f>D18/('RCV and ECV'!$B18/100000)</f>
        <v>10.431617166623827</v>
      </c>
      <c r="L18" s="37"/>
      <c r="M18" s="385">
        <f>'RCV and ECV'!$B$18/1000</f>
        <v>272999</v>
      </c>
      <c r="N18" s="386">
        <f>+'RCV and ECV'!D18</f>
        <v>482</v>
      </c>
      <c r="O18" s="387">
        <f t="shared" si="4"/>
        <v>566.38796680497921</v>
      </c>
      <c r="P18" s="91"/>
      <c r="Q18" s="388">
        <v>75.746468411476684</v>
      </c>
      <c r="R18" s="389">
        <f>D18/N18</f>
        <v>59.083424374919879</v>
      </c>
    </row>
    <row r="19" spans="1:18">
      <c r="A19" s="62"/>
      <c r="B19" s="68"/>
      <c r="C19" s="69"/>
      <c r="D19" s="38"/>
      <c r="E19" s="74"/>
      <c r="F19" s="91"/>
      <c r="G19" s="72"/>
      <c r="H19" s="598"/>
      <c r="I19" s="144"/>
      <c r="J19" s="43"/>
      <c r="K19" s="44"/>
      <c r="L19" s="37"/>
      <c r="M19" s="390"/>
      <c r="N19" s="391"/>
      <c r="O19" s="392"/>
      <c r="P19" s="91"/>
      <c r="Q19" s="393"/>
      <c r="R19" s="394"/>
    </row>
    <row r="20" spans="1:18">
      <c r="A20" s="62" t="s">
        <v>805</v>
      </c>
      <c r="B20" s="63">
        <v>3473331.1123581943</v>
      </c>
      <c r="C20" s="64">
        <v>6.8286030178927745E-2</v>
      </c>
      <c r="D20" s="65">
        <f>D23+D24</f>
        <v>3196833.9590927591</v>
      </c>
      <c r="E20" s="64">
        <f>D20/D$56</f>
        <v>9.7198819563328112E-2</v>
      </c>
      <c r="F20" s="91"/>
      <c r="G20" s="66">
        <f>D20-B20</f>
        <v>-276497.15326543525</v>
      </c>
      <c r="H20" s="598">
        <f>G20/B20</f>
        <v>-7.9605757217229262E-2</v>
      </c>
      <c r="I20" s="144"/>
      <c r="J20" s="43">
        <v>52.662491489055334</v>
      </c>
      <c r="K20" s="44">
        <f>D20/('RCV and ECV'!$B20/100000)</f>
        <v>48.000269534577619</v>
      </c>
      <c r="L20" s="37"/>
      <c r="M20" s="29">
        <f>'RCV and ECV'!$B$20/1000</f>
        <v>6660033.3499999996</v>
      </c>
      <c r="N20" s="30">
        <f>N21+N22+N24</f>
        <v>16372</v>
      </c>
      <c r="O20" s="25">
        <f t="shared" si="4"/>
        <v>406.79412106034692</v>
      </c>
      <c r="P20" s="94"/>
      <c r="Q20" s="27">
        <v>215.57417529531992</v>
      </c>
      <c r="R20" s="41">
        <f>D20/N20</f>
        <v>195.2622745597825</v>
      </c>
    </row>
    <row r="21" spans="1:18" outlineLevel="2">
      <c r="A21" s="67" t="s">
        <v>801</v>
      </c>
      <c r="B21" s="68">
        <v>601869.30110943702</v>
      </c>
      <c r="C21" s="69"/>
      <c r="D21" s="70">
        <f>'Rates Allocation'!Q24</f>
        <v>551951.99843929731</v>
      </c>
      <c r="E21" s="71"/>
      <c r="F21" s="91"/>
      <c r="G21" s="72">
        <f>D21-B21</f>
        <v>-49917.302670139703</v>
      </c>
      <c r="H21" s="598">
        <f>G21/B21</f>
        <v>-8.2937113719085187E-2</v>
      </c>
      <c r="I21" s="144"/>
      <c r="J21" s="45">
        <v>57.088519235651788</v>
      </c>
      <c r="K21" s="46">
        <f>D21/('RCV and ECV'!$B21/100000)</f>
        <v>52.025112070074243</v>
      </c>
      <c r="L21" s="37"/>
      <c r="M21" s="375">
        <f>'RCV and ECV'!$B$21/1000</f>
        <v>1060933.8</v>
      </c>
      <c r="N21" s="376">
        <f>+'RCV and ECV'!D21</f>
        <v>712</v>
      </c>
      <c r="O21" s="377">
        <f t="shared" si="4"/>
        <v>1490.0755617977529</v>
      </c>
      <c r="P21" s="91"/>
      <c r="Q21" s="378">
        <v>856.14409830645377</v>
      </c>
      <c r="R21" s="379">
        <f>D21/N21</f>
        <v>775.21348095406927</v>
      </c>
    </row>
    <row r="22" spans="1:18" outlineLevel="2">
      <c r="A22" s="67" t="s">
        <v>802</v>
      </c>
      <c r="B22" s="68">
        <v>2770958.0081227873</v>
      </c>
      <c r="C22" s="69"/>
      <c r="D22" s="70">
        <f>'Rates Allocation'!Q25</f>
        <v>2552337.4571390189</v>
      </c>
      <c r="E22" s="71"/>
      <c r="F22" s="91"/>
      <c r="G22" s="72">
        <f>D22-B22</f>
        <v>-218620.55098376842</v>
      </c>
      <c r="H22" s="598">
        <f>G22/B22</f>
        <v>-7.8897099971527551E-2</v>
      </c>
      <c r="I22" s="144"/>
      <c r="J22" s="47">
        <v>57.088519235651788</v>
      </c>
      <c r="K22" s="48">
        <f>D22/('RCV and ECV'!$B22/100000)</f>
        <v>52.025112070074243</v>
      </c>
      <c r="L22" s="37"/>
      <c r="M22" s="380">
        <f>'RCV and ECV'!$B$22/1000</f>
        <v>4905972.05</v>
      </c>
      <c r="N22" s="381">
        <f>+'RCV and ECV'!D22</f>
        <v>14495</v>
      </c>
      <c r="O22" s="382">
        <f t="shared" si="4"/>
        <v>338.4596102104174</v>
      </c>
      <c r="P22" s="91"/>
      <c r="Q22" s="383">
        <v>194.0039213136447</v>
      </c>
      <c r="R22" s="384">
        <f>D22/N22</f>
        <v>176.08399152390609</v>
      </c>
    </row>
    <row r="23" spans="1:18" outlineLevel="1">
      <c r="A23" s="67" t="s">
        <v>808</v>
      </c>
      <c r="B23" s="68">
        <v>3372827.3092322242</v>
      </c>
      <c r="C23" s="69"/>
      <c r="D23" s="70">
        <f>D22+D21</f>
        <v>3104289.455578316</v>
      </c>
      <c r="E23" s="71"/>
      <c r="F23" s="91"/>
      <c r="G23" s="72">
        <f>D23-B23</f>
        <v>-268537.85365390824</v>
      </c>
      <c r="H23" s="598">
        <f>G23/B23</f>
        <v>-7.9618026371779185E-2</v>
      </c>
      <c r="I23" s="144"/>
      <c r="J23" s="47">
        <v>57.088519235651788</v>
      </c>
      <c r="K23" s="48">
        <f>D23/(('RCV and ECV'!B21+'RCV and ECV'!B22)/100000)</f>
        <v>52.025112070074243</v>
      </c>
      <c r="L23" s="37"/>
      <c r="M23" s="380">
        <f>M22+M21</f>
        <v>5966905.8499999996</v>
      </c>
      <c r="N23" s="381">
        <f>N21+N22</f>
        <v>15207</v>
      </c>
      <c r="O23" s="382">
        <f>M23/N23</f>
        <v>392.37889458801862</v>
      </c>
      <c r="P23" s="91"/>
      <c r="Q23" s="383">
        <v>225.06521481597653</v>
      </c>
      <c r="R23" s="384">
        <f>D23/N23</f>
        <v>204.13555964873518</v>
      </c>
    </row>
    <row r="24" spans="1:18" outlineLevel="1">
      <c r="A24" s="67" t="s">
        <v>803</v>
      </c>
      <c r="B24" s="68">
        <v>100503.80312596999</v>
      </c>
      <c r="C24" s="69"/>
      <c r="D24" s="70">
        <f>'Rates Allocation'!Q27</f>
        <v>92544.503514443204</v>
      </c>
      <c r="E24" s="71"/>
      <c r="F24" s="91"/>
      <c r="G24" s="72">
        <f>D24-B24</f>
        <v>-7959.2996115267888</v>
      </c>
      <c r="H24" s="598">
        <f>G24/B24</f>
        <v>-7.9194014196166479E-2</v>
      </c>
      <c r="I24" s="144"/>
      <c r="J24" s="49">
        <v>14.621085007258619</v>
      </c>
      <c r="K24" s="52">
        <f>D24/('RCV and ECV'!$B23/100000)</f>
        <v>13.351728724432837</v>
      </c>
      <c r="L24" s="37"/>
      <c r="M24" s="385">
        <f>'RCV and ECV'!$B$23/1000</f>
        <v>693127.5</v>
      </c>
      <c r="N24" s="386">
        <f>+'RCV and ECV'!D23</f>
        <v>1165</v>
      </c>
      <c r="O24" s="387">
        <f t="shared" si="4"/>
        <v>594.95922746781116</v>
      </c>
      <c r="P24" s="91"/>
      <c r="Q24" s="388">
        <v>89.257374001749554</v>
      </c>
      <c r="R24" s="389">
        <f>D24/N24</f>
        <v>79.437342072483432</v>
      </c>
    </row>
    <row r="25" spans="1:18">
      <c r="A25" s="67"/>
      <c r="B25" s="68"/>
      <c r="C25" s="69"/>
      <c r="D25" s="38"/>
      <c r="E25" s="74"/>
      <c r="F25" s="91"/>
      <c r="G25" s="72"/>
      <c r="H25" s="598"/>
      <c r="I25" s="144"/>
      <c r="J25" s="43"/>
      <c r="K25" s="44"/>
      <c r="L25" s="37"/>
      <c r="M25" s="390"/>
      <c r="N25" s="391"/>
      <c r="O25" s="392"/>
      <c r="P25" s="91"/>
      <c r="Q25" s="393"/>
      <c r="R25" s="394"/>
    </row>
    <row r="26" spans="1:18">
      <c r="A26" s="62" t="s">
        <v>806</v>
      </c>
      <c r="B26" s="63">
        <v>4552577.5169924991</v>
      </c>
      <c r="C26" s="64">
        <v>8.9504120298565373E-2</v>
      </c>
      <c r="D26" s="65">
        <f>D29+D30</f>
        <v>3816804.5536091239</v>
      </c>
      <c r="E26" s="64">
        <f>D26/D$56</f>
        <v>0.11604884766052304</v>
      </c>
      <c r="F26" s="91"/>
      <c r="G26" s="66">
        <f>D26-B26</f>
        <v>-735772.9633833752</v>
      </c>
      <c r="H26" s="598">
        <f>G26/B26</f>
        <v>-0.16161678974978505</v>
      </c>
      <c r="I26" s="144"/>
      <c r="J26" s="43">
        <v>57.430161501870842</v>
      </c>
      <c r="K26" s="44">
        <f>D26/('RCV and ECV'!$B25/100000)</f>
        <v>47.870502088438762</v>
      </c>
      <c r="L26" s="37"/>
      <c r="M26" s="29">
        <f>'RCV and ECV'!$B$25/1000</f>
        <v>7973186.7999999998</v>
      </c>
      <c r="N26" s="30">
        <f>N27+N28+N30</f>
        <v>18076</v>
      </c>
      <c r="O26" s="25">
        <f t="shared" si="4"/>
        <v>441.0924319539721</v>
      </c>
      <c r="P26" s="94"/>
      <c r="Q26" s="27">
        <v>251.98303630887801</v>
      </c>
      <c r="R26" s="41">
        <f>D26/N26</f>
        <v>211.15316185047155</v>
      </c>
    </row>
    <row r="27" spans="1:18" outlineLevel="2">
      <c r="A27" s="67" t="s">
        <v>801</v>
      </c>
      <c r="B27" s="68">
        <v>579724.14946555055</v>
      </c>
      <c r="C27" s="69"/>
      <c r="D27" s="70">
        <f>'Rates Allocation'!Q30</f>
        <v>482266.6136184067</v>
      </c>
      <c r="E27" s="71"/>
      <c r="F27" s="91"/>
      <c r="G27" s="72">
        <f>D27-B27</f>
        <v>-97457.535847143852</v>
      </c>
      <c r="H27" s="598">
        <f>G27/B27</f>
        <v>-0.16811018815929998</v>
      </c>
      <c r="I27" s="144"/>
      <c r="J27" s="45">
        <v>60.363434742062026</v>
      </c>
      <c r="K27" s="46">
        <f>D27/('RCV and ECV'!$B26/100000)</f>
        <v>50.324193892977533</v>
      </c>
      <c r="L27" s="37"/>
      <c r="M27" s="375">
        <f>'RCV and ECV'!$B$26/1000</f>
        <v>958319.6</v>
      </c>
      <c r="N27" s="376">
        <f>+'RCV and ECV'!D26</f>
        <v>793</v>
      </c>
      <c r="O27" s="377">
        <f t="shared" si="4"/>
        <v>1208.4736443883985</v>
      </c>
      <c r="P27" s="91"/>
      <c r="Q27" s="378">
        <v>729.21276662333401</v>
      </c>
      <c r="R27" s="379">
        <f>D27/N27</f>
        <v>608.15461994754946</v>
      </c>
    </row>
    <row r="28" spans="1:18" outlineLevel="2">
      <c r="A28" s="67" t="s">
        <v>802</v>
      </c>
      <c r="B28" s="68">
        <v>3892816.8094951371</v>
      </c>
      <c r="C28" s="69"/>
      <c r="D28" s="70">
        <f>'Rates Allocation'!Q31</f>
        <v>3266785.0068859546</v>
      </c>
      <c r="E28" s="71"/>
      <c r="F28" s="91"/>
      <c r="G28" s="72">
        <f>D28-B28</f>
        <v>-626031.80260918243</v>
      </c>
      <c r="H28" s="598">
        <f>G28/B28</f>
        <v>-0.16081717513195107</v>
      </c>
      <c r="I28" s="144"/>
      <c r="J28" s="47">
        <v>60.363434742062012</v>
      </c>
      <c r="K28" s="48">
        <f>D28/('RCV and ECV'!$B27/100000)</f>
        <v>50.324193892977533</v>
      </c>
      <c r="L28" s="37"/>
      <c r="M28" s="380">
        <f>'RCV and ECV'!$B$27/1000</f>
        <v>6491480.0499999998</v>
      </c>
      <c r="N28" s="381">
        <f>+'RCV and ECV'!D27</f>
        <v>16683</v>
      </c>
      <c r="O28" s="382">
        <f t="shared" si="4"/>
        <v>389.10747767188155</v>
      </c>
      <c r="P28" s="91"/>
      <c r="Q28" s="383">
        <v>233.42428551269035</v>
      </c>
      <c r="R28" s="384">
        <f>D28/N28</f>
        <v>195.81520151567193</v>
      </c>
    </row>
    <row r="29" spans="1:18" outlineLevel="1">
      <c r="A29" s="67" t="s">
        <v>808</v>
      </c>
      <c r="B29" s="68">
        <v>4472540.9589606877</v>
      </c>
      <c r="C29" s="69"/>
      <c r="D29" s="75">
        <f>D28+D27</f>
        <v>3749051.6205043616</v>
      </c>
      <c r="E29" s="71"/>
      <c r="F29" s="91"/>
      <c r="G29" s="72">
        <f>D29-B29</f>
        <v>-723489.33845632616</v>
      </c>
      <c r="H29" s="598">
        <f>G29/B29</f>
        <v>-0.16176248470275562</v>
      </c>
      <c r="I29" s="144"/>
      <c r="J29" s="47">
        <v>60.363434742062019</v>
      </c>
      <c r="K29" s="48">
        <f>D29/(('RCV and ECV'!B26+'RCV and ECV'!B27)/100000)</f>
        <v>50.324193892977533</v>
      </c>
      <c r="L29" s="37"/>
      <c r="M29" s="380">
        <f>M28+M27</f>
        <v>7449799.6499999994</v>
      </c>
      <c r="N29" s="381">
        <f>N27+N28</f>
        <v>17476</v>
      </c>
      <c r="O29" s="382">
        <f>M29/N29</f>
        <v>426.2874599450675</v>
      </c>
      <c r="P29" s="91"/>
      <c r="Q29" s="383">
        <v>255.98334243135804</v>
      </c>
      <c r="R29" s="384">
        <f>D29/N29</f>
        <v>214.52572788420471</v>
      </c>
    </row>
    <row r="30" spans="1:18" outlineLevel="1">
      <c r="A30" s="67" t="s">
        <v>803</v>
      </c>
      <c r="B30" s="68">
        <v>80036.558031811248</v>
      </c>
      <c r="C30" s="69"/>
      <c r="D30" s="70">
        <f>'Rates Allocation'!Q33</f>
        <v>67752.933104762342</v>
      </c>
      <c r="E30" s="71"/>
      <c r="F30" s="91"/>
      <c r="G30" s="72">
        <f>D30-B30</f>
        <v>-12283.624927048906</v>
      </c>
      <c r="H30" s="598">
        <f>G30/B30</f>
        <v>-0.15347517720797874</v>
      </c>
      <c r="I30" s="144"/>
      <c r="J30" s="49">
        <v>15.457051396579979</v>
      </c>
      <c r="K30" s="52">
        <f>D30/('RCV and ECV'!$B28/100000)</f>
        <v>12.945089138081119</v>
      </c>
      <c r="L30" s="37"/>
      <c r="M30" s="385">
        <f>'RCV and ECV'!$B$28/1000</f>
        <v>523387.15</v>
      </c>
      <c r="N30" s="386">
        <f>+'RCV and ECV'!D28</f>
        <v>600</v>
      </c>
      <c r="O30" s="387">
        <f t="shared" si="4"/>
        <v>872.31191666666666</v>
      </c>
      <c r="P30" s="91"/>
      <c r="Q30" s="388">
        <v>134.51522358287605</v>
      </c>
      <c r="R30" s="389">
        <f>D30/N30</f>
        <v>112.92155517460391</v>
      </c>
    </row>
    <row r="31" spans="1:18">
      <c r="A31" s="62"/>
      <c r="B31" s="68"/>
      <c r="C31" s="69"/>
      <c r="D31" s="38"/>
      <c r="E31" s="74"/>
      <c r="F31" s="91"/>
      <c r="G31" s="72"/>
      <c r="H31" s="598"/>
      <c r="I31" s="144"/>
      <c r="J31" s="43"/>
      <c r="K31" s="44"/>
      <c r="L31" s="37"/>
      <c r="M31" s="390"/>
      <c r="N31" s="391"/>
      <c r="O31" s="392"/>
      <c r="P31" s="91"/>
      <c r="Q31" s="393"/>
      <c r="R31" s="394"/>
    </row>
    <row r="32" spans="1:18">
      <c r="A32" s="62" t="s">
        <v>807</v>
      </c>
      <c r="B32" s="63">
        <v>2376227.8859726959</v>
      </c>
      <c r="C32" s="64">
        <v>4.6716873193058096E-2</v>
      </c>
      <c r="D32" s="38">
        <f>'Rates Allocation'!Q35</f>
        <v>1786198.7031074499</v>
      </c>
      <c r="E32" s="64">
        <f>D32/D$56</f>
        <v>5.4308859224225368E-2</v>
      </c>
      <c r="F32" s="94"/>
      <c r="G32" s="66">
        <f>D32-B32</f>
        <v>-590029.18286524597</v>
      </c>
      <c r="H32" s="598">
        <f>G32/B32</f>
        <v>-0.24830496533951782</v>
      </c>
      <c r="I32" s="83"/>
      <c r="J32" s="43">
        <v>22.937011493856176</v>
      </c>
      <c r="K32" s="44">
        <f>D32/('RCV and ECV'!$B30/100000)</f>
        <v>16.754731028050482</v>
      </c>
      <c r="L32" s="36"/>
      <c r="M32" s="29">
        <f>'RCV and ECV'!$B$30/1000</f>
        <v>10660861.699999999</v>
      </c>
      <c r="N32" s="310">
        <f>SUM(N35:N36)</f>
        <v>24439</v>
      </c>
      <c r="O32" s="25">
        <f t="shared" si="4"/>
        <v>436.22331928474978</v>
      </c>
      <c r="P32" s="94"/>
      <c r="Q32" s="27">
        <v>97.446294278150333</v>
      </c>
      <c r="R32" s="41">
        <f>D32/N32</f>
        <v>73.088043827793683</v>
      </c>
    </row>
    <row r="33" spans="1:18" outlineLevel="2">
      <c r="A33" s="67" t="s">
        <v>281</v>
      </c>
      <c r="B33" s="68">
        <v>310577.49420145428</v>
      </c>
      <c r="C33" s="69"/>
      <c r="D33" s="70">
        <f>'Rates Allocation'!Q36</f>
        <v>237954.27220504274</v>
      </c>
      <c r="E33" s="71"/>
      <c r="F33" s="91"/>
      <c r="G33" s="72">
        <f>D33-B33</f>
        <v>-72623.221996411536</v>
      </c>
      <c r="H33" s="598">
        <f>G33/B33</f>
        <v>-0.23383285444793017</v>
      </c>
      <c r="I33" s="144"/>
      <c r="J33" s="45">
        <v>25.942210182667299</v>
      </c>
      <c r="K33" s="46">
        <f>D33/('RCV and ECV'!$B31/100000)</f>
        <v>18.862014511405526</v>
      </c>
      <c r="L33" s="37"/>
      <c r="M33" s="375">
        <f>'RCV and ECV'!$B$31/1000</f>
        <v>1261552.8</v>
      </c>
      <c r="N33" s="376">
        <f>+'RCV and ECV'!D31</f>
        <v>1347</v>
      </c>
      <c r="O33" s="377">
        <f t="shared" si="4"/>
        <v>936.5648106904232</v>
      </c>
      <c r="P33" s="91"/>
      <c r="Q33" s="378">
        <v>232.81671229494324</v>
      </c>
      <c r="R33" s="379">
        <f>D33/N33</f>
        <v>176.65499050114531</v>
      </c>
    </row>
    <row r="34" spans="1:18" outlineLevel="2">
      <c r="A34" s="67" t="s">
        <v>809</v>
      </c>
      <c r="B34" s="68">
        <v>1955828.5856257924</v>
      </c>
      <c r="C34" s="69"/>
      <c r="D34" s="70">
        <f>'Rates Allocation'!Q37</f>
        <v>1467518.8346759763</v>
      </c>
      <c r="E34" s="71"/>
      <c r="F34" s="91"/>
      <c r="G34" s="72">
        <f>D34-B34</f>
        <v>-488309.75094981608</v>
      </c>
      <c r="H34" s="598">
        <f>G34/B34</f>
        <v>-0.24966899171972942</v>
      </c>
      <c r="I34" s="144"/>
      <c r="J34" s="47">
        <v>25.942210182667303</v>
      </c>
      <c r="K34" s="48">
        <f>D34/('RCV and ECV'!$B32/100000)</f>
        <v>18.862014511405533</v>
      </c>
      <c r="L34" s="37"/>
      <c r="M34" s="380">
        <f>'RCV and ECV'!$B$32/1000</f>
        <v>7780286.8499999996</v>
      </c>
      <c r="N34" s="381">
        <f>+'RCV and ECV'!D32</f>
        <v>20320</v>
      </c>
      <c r="O34" s="382">
        <f t="shared" si="4"/>
        <v>382.88813238188976</v>
      </c>
      <c r="P34" s="91"/>
      <c r="Q34" s="383">
        <v>96.369972191465507</v>
      </c>
      <c r="R34" s="384">
        <f>D34/N34</f>
        <v>72.220415092321673</v>
      </c>
    </row>
    <row r="35" spans="1:18" outlineLevel="1">
      <c r="A35" s="67" t="s">
        <v>808</v>
      </c>
      <c r="B35" s="68">
        <v>2266406.0798272467</v>
      </c>
      <c r="C35" s="69"/>
      <c r="D35" s="75">
        <f>D34+D33</f>
        <v>1705473.106881019</v>
      </c>
      <c r="E35" s="71"/>
      <c r="F35" s="91"/>
      <c r="G35" s="72">
        <f>D35-B35</f>
        <v>-560932.97294622776</v>
      </c>
      <c r="H35" s="598">
        <f>G35/B35</f>
        <v>-0.24749888289612426</v>
      </c>
      <c r="I35" s="144"/>
      <c r="J35" s="47">
        <v>24.735383374164378</v>
      </c>
      <c r="K35" s="48">
        <f>D35/(('RCV and ECV'!B32+'RCV and ECV'!B33)/100000)</f>
        <v>18.144664943196183</v>
      </c>
      <c r="L35" s="37"/>
      <c r="M35" s="380">
        <f>M34+M33</f>
        <v>9041839.6500000004</v>
      </c>
      <c r="N35" s="381">
        <f>N33+N34</f>
        <v>21667</v>
      </c>
      <c r="O35" s="382">
        <f>M35/N35</f>
        <v>417.309256011446</v>
      </c>
      <c r="P35" s="91"/>
      <c r="Q35" s="383">
        <v>104.78552313224128</v>
      </c>
      <c r="R35" s="384">
        <f>D35/N35</f>
        <v>78.712932426317394</v>
      </c>
    </row>
    <row r="36" spans="1:18" outlineLevel="1">
      <c r="A36" s="67" t="s">
        <v>803</v>
      </c>
      <c r="B36" s="68">
        <v>109821.8061454492</v>
      </c>
      <c r="C36" s="69"/>
      <c r="D36" s="70">
        <f>'Rates Allocation'!Q39</f>
        <v>80725.596226431007</v>
      </c>
      <c r="E36" s="71"/>
      <c r="F36" s="91"/>
      <c r="G36" s="72">
        <f>D36-B36</f>
        <v>-29096.209919018191</v>
      </c>
      <c r="H36" s="598">
        <f>G36/B36</f>
        <v>-0.26494018756605453</v>
      </c>
      <c r="I36" s="144"/>
      <c r="J36" s="49">
        <v>6.7647899977768837</v>
      </c>
      <c r="K36" s="52">
        <f>D36/('RCV and ECV'!$B33/100000)</f>
        <v>4.9860714513697335</v>
      </c>
      <c r="L36" s="37"/>
      <c r="M36" s="385">
        <f>'RCV and ECV'!$B$33/1000</f>
        <v>1619022.05</v>
      </c>
      <c r="N36" s="386">
        <f>+'RCV and ECV'!D33</f>
        <v>2772</v>
      </c>
      <c r="O36" s="387">
        <f t="shared" si="4"/>
        <v>584.06278860028863</v>
      </c>
      <c r="P36" s="91"/>
      <c r="Q36" s="388">
        <v>39.848260575271844</v>
      </c>
      <c r="R36" s="389">
        <f>D36/N36</f>
        <v>29.121787960472947</v>
      </c>
    </row>
    <row r="37" spans="1:18">
      <c r="A37" s="67"/>
      <c r="B37" s="68"/>
      <c r="C37" s="69"/>
      <c r="D37" s="38"/>
      <c r="E37" s="74"/>
      <c r="F37" s="91"/>
      <c r="G37" s="72"/>
      <c r="H37" s="598"/>
      <c r="I37" s="144"/>
      <c r="J37" s="43"/>
      <c r="K37" s="44"/>
      <c r="L37" s="37"/>
      <c r="M37" s="390"/>
      <c r="N37" s="391"/>
      <c r="O37" s="392"/>
      <c r="P37" s="91"/>
      <c r="Q37" s="393"/>
      <c r="R37" s="394"/>
    </row>
    <row r="38" spans="1:18">
      <c r="A38" s="62" t="s">
        <v>810</v>
      </c>
      <c r="B38" s="63">
        <v>247237.40696247871</v>
      </c>
      <c r="C38" s="64">
        <v>4.8607116589403296E-3</v>
      </c>
      <c r="D38" s="65">
        <f>D41+D42</f>
        <v>193006.07420962813</v>
      </c>
      <c r="E38" s="64">
        <f>D38/D$56</f>
        <v>5.8682943255057001E-3</v>
      </c>
      <c r="F38" s="91"/>
      <c r="G38" s="66">
        <f>D38-B38</f>
        <v>-54231.332752850576</v>
      </c>
      <c r="H38" s="598">
        <f>G38/B38</f>
        <v>-0.21934922154025357</v>
      </c>
      <c r="I38" s="144"/>
      <c r="J38" s="43">
        <v>5.4962295936937622</v>
      </c>
      <c r="K38" s="44">
        <f>D38/('RCV and ECV'!$B35/100000)</f>
        <v>4.1768798453717562</v>
      </c>
      <c r="L38" s="37"/>
      <c r="M38" s="29">
        <f>'RCV and ECV'!$B$35/1000</f>
        <v>4620819.4000000004</v>
      </c>
      <c r="N38" s="30">
        <f>N39+N40+N42</f>
        <v>12219</v>
      </c>
      <c r="O38" s="25">
        <f t="shared" si="4"/>
        <v>378.16674032244867</v>
      </c>
      <c r="P38" s="94"/>
      <c r="Q38" s="27">
        <v>20.288643276093772</v>
      </c>
      <c r="R38" s="41">
        <f>D38/N38</f>
        <v>15.795570358427705</v>
      </c>
    </row>
    <row r="39" spans="1:18" outlineLevel="2">
      <c r="A39" s="67" t="s">
        <v>811</v>
      </c>
      <c r="B39" s="68">
        <v>32439.873777889021</v>
      </c>
      <c r="C39" s="69"/>
      <c r="D39" s="70">
        <f>'Rates Allocation'!Q42</f>
        <v>33474.800861837444</v>
      </c>
      <c r="E39" s="71"/>
      <c r="F39" s="91"/>
      <c r="G39" s="72">
        <f>D39-B39</f>
        <v>1034.9270839484234</v>
      </c>
      <c r="H39" s="598">
        <f>G39/B39</f>
        <v>3.1902931899008447E-2</v>
      </c>
      <c r="I39" s="144"/>
      <c r="J39" s="45">
        <v>8.4997989747507354</v>
      </c>
      <c r="K39" s="46">
        <f>D39/('RCV and ECV'!$B36/100000)</f>
        <v>6.4038586872494525</v>
      </c>
      <c r="L39" s="37"/>
      <c r="M39" s="375">
        <f>'RCV and ECV'!$B$36/1000</f>
        <v>522728.6</v>
      </c>
      <c r="N39" s="376">
        <f>+'RCV and ECV'!D36</f>
        <v>577</v>
      </c>
      <c r="O39" s="377">
        <f t="shared" si="4"/>
        <v>905.94211438474861</v>
      </c>
      <c r="P39" s="91"/>
      <c r="Q39" s="378">
        <v>58.240347895671491</v>
      </c>
      <c r="R39" s="379">
        <f>D39/N39</f>
        <v>58.015252793479107</v>
      </c>
    </row>
    <row r="40" spans="1:18" outlineLevel="2">
      <c r="A40" s="67" t="s">
        <v>809</v>
      </c>
      <c r="B40" s="68">
        <v>158469.6146003296</v>
      </c>
      <c r="C40" s="69"/>
      <c r="D40" s="70">
        <f>'Rates Allocation'!Q43</f>
        <v>113903.57735108671</v>
      </c>
      <c r="E40" s="71"/>
      <c r="F40" s="91"/>
      <c r="G40" s="72">
        <f>D40-B40</f>
        <v>-44566.037249242887</v>
      </c>
      <c r="H40" s="598">
        <f>G40/B40</f>
        <v>-0.28122764961372093</v>
      </c>
      <c r="I40" s="144"/>
      <c r="J40" s="47">
        <v>8.4997989747507354</v>
      </c>
      <c r="K40" s="48">
        <f>D40/('RCV and ECV'!$B37/100000)</f>
        <v>6.4038586872494534</v>
      </c>
      <c r="L40" s="37"/>
      <c r="M40" s="380">
        <f>'RCV and ECV'!$B$37/1000</f>
        <v>1778671</v>
      </c>
      <c r="N40" s="381">
        <f>+'RCV and ECV'!D37</f>
        <v>7728</v>
      </c>
      <c r="O40" s="382">
        <f t="shared" si="4"/>
        <v>230.15929089026915</v>
      </c>
      <c r="P40" s="91"/>
      <c r="Q40" s="383">
        <v>20.543118304424372</v>
      </c>
      <c r="R40" s="384">
        <f>D40/N40</f>
        <v>14.73907574418824</v>
      </c>
    </row>
    <row r="41" spans="1:18" outlineLevel="1">
      <c r="A41" s="67" t="s">
        <v>808</v>
      </c>
      <c r="B41" s="68">
        <v>190909.48837821861</v>
      </c>
      <c r="C41" s="69"/>
      <c r="D41" s="70">
        <f>D40+D39</f>
        <v>147378.37821292417</v>
      </c>
      <c r="E41" s="71"/>
      <c r="F41" s="91"/>
      <c r="G41" s="72">
        <f>D41-B41</f>
        <v>-43531.110165294434</v>
      </c>
      <c r="H41" s="598">
        <f>G41/B41</f>
        <v>-0.22801962613326568</v>
      </c>
      <c r="I41" s="144"/>
      <c r="J41" s="47">
        <v>8.4997989747507336</v>
      </c>
      <c r="K41" s="48">
        <f>D41/(('RCV and ECV'!B36+'RCV and ECV'!B37)/100000)</f>
        <v>6.4038586872494534</v>
      </c>
      <c r="L41" s="37"/>
      <c r="M41" s="380">
        <f>M40+M39</f>
        <v>2301399.6</v>
      </c>
      <c r="N41" s="381">
        <f>N39+N40</f>
        <v>8305</v>
      </c>
      <c r="O41" s="382">
        <f>M41/N41</f>
        <v>277.11012642986157</v>
      </c>
      <c r="P41" s="91"/>
      <c r="Q41" s="383">
        <v>23.081790397559981</v>
      </c>
      <c r="R41" s="384">
        <f>D41/N41</f>
        <v>17.745740904626633</v>
      </c>
    </row>
    <row r="42" spans="1:18" outlineLevel="1">
      <c r="A42" s="67" t="s">
        <v>812</v>
      </c>
      <c r="B42" s="68">
        <v>56327.9185842601</v>
      </c>
      <c r="C42" s="69"/>
      <c r="D42" s="70">
        <f>'Rates Allocation'!Q45</f>
        <v>45627.695996703966</v>
      </c>
      <c r="E42" s="71"/>
      <c r="F42" s="91"/>
      <c r="G42" s="72">
        <f>D42-B42</f>
        <v>-10700.222587556134</v>
      </c>
      <c r="H42" s="598">
        <f>G42/B42</f>
        <v>-0.18996303887120966</v>
      </c>
      <c r="I42" s="144"/>
      <c r="J42" s="49">
        <v>2.5009485389516417</v>
      </c>
      <c r="K42" s="52">
        <f>D42/('RCV and ECV'!$B38/100000)</f>
        <v>1.9672030046783235</v>
      </c>
      <c r="L42" s="37"/>
      <c r="M42" s="385">
        <f>'RCV and ECV'!$B$38/1000</f>
        <v>2319419.7999999998</v>
      </c>
      <c r="N42" s="386">
        <f>+'RCV and ECV'!D38</f>
        <v>3914</v>
      </c>
      <c r="O42" s="387">
        <f t="shared" si="4"/>
        <v>592.59575881451201</v>
      </c>
      <c r="P42" s="91"/>
      <c r="Q42" s="388">
        <v>14.387718667754815</v>
      </c>
      <c r="R42" s="389">
        <f>D42/N42</f>
        <v>11.657561572995393</v>
      </c>
    </row>
    <row r="43" spans="1:18">
      <c r="A43" s="67"/>
      <c r="B43" s="68"/>
      <c r="C43" s="69"/>
      <c r="D43" s="38"/>
      <c r="E43" s="74"/>
      <c r="F43" s="91"/>
      <c r="G43" s="72"/>
      <c r="H43" s="598"/>
      <c r="I43" s="144"/>
      <c r="J43" s="43"/>
      <c r="K43" s="44"/>
      <c r="L43" s="37"/>
      <c r="M43" s="390"/>
      <c r="N43" s="391"/>
      <c r="O43" s="392"/>
      <c r="P43" s="91"/>
      <c r="Q43" s="393"/>
      <c r="R43" s="394"/>
    </row>
    <row r="44" spans="1:18">
      <c r="A44" s="62" t="s">
        <v>813</v>
      </c>
      <c r="B44" s="63">
        <v>152117.62433963086</v>
      </c>
      <c r="C44" s="64">
        <v>2.9906474074538484E-3</v>
      </c>
      <c r="D44" s="65">
        <f>D47+D48</f>
        <v>130553.66204707639</v>
      </c>
      <c r="E44" s="64">
        <f>D44/D$56</f>
        <v>3.9694466472217846E-3</v>
      </c>
      <c r="F44" s="91"/>
      <c r="G44" s="66">
        <f>D44-B44</f>
        <v>-21563.962292554468</v>
      </c>
      <c r="H44" s="598">
        <f>G44/B44</f>
        <v>-0.14175847398463781</v>
      </c>
      <c r="I44" s="144"/>
      <c r="J44" s="43">
        <v>7.7255103586090872</v>
      </c>
      <c r="K44" s="44">
        <f>D44/('RCV and ECV'!$B40/100000)</f>
        <v>6.1784689330202429</v>
      </c>
      <c r="L44" s="37"/>
      <c r="M44" s="29">
        <f>'RCV and ECV'!$B$40/1000</f>
        <v>2113042.2999999998</v>
      </c>
      <c r="N44" s="30">
        <f>N45+N46+N48</f>
        <v>4486</v>
      </c>
      <c r="O44" s="25">
        <f t="shared" si="4"/>
        <v>471.03038341506908</v>
      </c>
      <c r="P44" s="94"/>
      <c r="Q44" s="27">
        <v>34.953498239804887</v>
      </c>
      <c r="R44" s="41">
        <f>D44/N44</f>
        <v>29.102465904386175</v>
      </c>
    </row>
    <row r="45" spans="1:18" outlineLevel="2">
      <c r="A45" s="67" t="s">
        <v>811</v>
      </c>
      <c r="B45" s="68">
        <v>14602.177189238555</v>
      </c>
      <c r="C45" s="69"/>
      <c r="D45" s="70">
        <f>'Rates Allocation'!Q48</f>
        <v>11259.773279661034</v>
      </c>
      <c r="E45" s="71"/>
      <c r="F45" s="91"/>
      <c r="G45" s="72">
        <f>D45-B45</f>
        <v>-3342.4039095775206</v>
      </c>
      <c r="H45" s="598">
        <f>G45/B45</f>
        <v>-0.22889764082857383</v>
      </c>
      <c r="I45" s="144"/>
      <c r="J45" s="45">
        <v>15.431871775234011</v>
      </c>
      <c r="K45" s="46">
        <f>D45/('RCV and ECV'!$B41/100000)</f>
        <v>12.282741396902018</v>
      </c>
      <c r="L45" s="37"/>
      <c r="M45" s="375">
        <f>'RCV and ECV'!$B$41/1000</f>
        <v>91671.5</v>
      </c>
      <c r="N45" s="376">
        <f>+'RCV and ECV'!D41</f>
        <v>226</v>
      </c>
      <c r="O45" s="377">
        <f t="shared" si="4"/>
        <v>405.62610619469024</v>
      </c>
      <c r="P45" s="91"/>
      <c r="Q45" s="378">
        <v>64.611403492205994</v>
      </c>
      <c r="R45" s="379">
        <f>D45/N45</f>
        <v>49.822005662216966</v>
      </c>
    </row>
    <row r="46" spans="1:18" outlineLevel="2">
      <c r="A46" s="67" t="s">
        <v>809</v>
      </c>
      <c r="B46" s="68">
        <v>80705.618441990591</v>
      </c>
      <c r="C46" s="69"/>
      <c r="D46" s="70">
        <f>'Rates Allocation'!Q49</f>
        <v>70066.357858006086</v>
      </c>
      <c r="E46" s="71"/>
      <c r="F46" s="91"/>
      <c r="G46" s="72">
        <f>D46-B46</f>
        <v>-10639.260583984506</v>
      </c>
      <c r="H46" s="598">
        <f>G46/B46</f>
        <v>-0.13182800391563532</v>
      </c>
      <c r="I46" s="144"/>
      <c r="J46" s="47">
        <v>15.431871775234008</v>
      </c>
      <c r="K46" s="48">
        <f>D46/('RCV and ECV'!$B42/100000)</f>
        <v>12.282741396902015</v>
      </c>
      <c r="L46" s="37"/>
      <c r="M46" s="380">
        <f>'RCV and ECV'!$B$42/1000</f>
        <v>570445.6</v>
      </c>
      <c r="N46" s="381">
        <f>+'RCV and ECV'!D42</f>
        <v>2209</v>
      </c>
      <c r="O46" s="382">
        <f t="shared" si="4"/>
        <v>258.23703033046627</v>
      </c>
      <c r="P46" s="91"/>
      <c r="Q46" s="383">
        <v>37.346422231370013</v>
      </c>
      <c r="R46" s="384">
        <f>D46/N46</f>
        <v>31.718586626530595</v>
      </c>
    </row>
    <row r="47" spans="1:18" outlineLevel="1">
      <c r="A47" s="67" t="s">
        <v>808</v>
      </c>
      <c r="B47" s="68">
        <v>95307.79563122915</v>
      </c>
      <c r="C47" s="69"/>
      <c r="D47" s="70">
        <f>D46+D45</f>
        <v>81326.131137667122</v>
      </c>
      <c r="E47" s="71"/>
      <c r="F47" s="91"/>
      <c r="G47" s="72">
        <f>D47-B47</f>
        <v>-13981.664493562028</v>
      </c>
      <c r="H47" s="598">
        <f>G47/B47</f>
        <v>-0.14670011409833414</v>
      </c>
      <c r="I47" s="144"/>
      <c r="J47" s="47">
        <v>15.43187177523401</v>
      </c>
      <c r="K47" s="48">
        <f>D47/(('RCV and ECV'!B41+'RCV and ECV'!B42)/100000)</f>
        <v>12.282741396902017</v>
      </c>
      <c r="L47" s="37"/>
      <c r="M47" s="380">
        <f>M46+M45</f>
        <v>662117.1</v>
      </c>
      <c r="N47" s="381">
        <f>N45+N46</f>
        <v>2435</v>
      </c>
      <c r="O47" s="382">
        <f>M47/N47</f>
        <v>271.91667351129365</v>
      </c>
      <c r="P47" s="91"/>
      <c r="Q47" s="383">
        <v>39.927857407301694</v>
      </c>
      <c r="R47" s="384">
        <f>D47/N47</f>
        <v>33.398821822450564</v>
      </c>
    </row>
    <row r="48" spans="1:18" outlineLevel="1">
      <c r="A48" s="67" t="s">
        <v>812</v>
      </c>
      <c r="B48" s="68">
        <v>56809.828708401714</v>
      </c>
      <c r="C48" s="69"/>
      <c r="D48" s="70">
        <f>'Rates Allocation'!Q51</f>
        <v>49227.530909409266</v>
      </c>
      <c r="E48" s="71"/>
      <c r="F48" s="91"/>
      <c r="G48" s="72">
        <f>D48-B48</f>
        <v>-7582.2977989924475</v>
      </c>
      <c r="H48" s="598">
        <f>G48/B48</f>
        <v>-0.13346806303380188</v>
      </c>
      <c r="I48" s="144"/>
      <c r="J48" s="49">
        <v>4.2036935570230209</v>
      </c>
      <c r="K48" s="52">
        <f>D48/('RCV and ECV'!$B43/100000)</f>
        <v>3.3928372675179439</v>
      </c>
      <c r="L48" s="37"/>
      <c r="M48" s="385">
        <f>'RCV and ECV'!$B$43/1000</f>
        <v>1450925.2</v>
      </c>
      <c r="N48" s="386">
        <f>+'RCV and ECV'!D43</f>
        <v>2051</v>
      </c>
      <c r="O48" s="387">
        <f t="shared" si="4"/>
        <v>707.4233057045343</v>
      </c>
      <c r="P48" s="91"/>
      <c r="Q48" s="388">
        <v>28.910854304530133</v>
      </c>
      <c r="R48" s="389">
        <f>D48/N48</f>
        <v>24.001721555050835</v>
      </c>
    </row>
    <row r="49" spans="1:18">
      <c r="A49" s="67"/>
      <c r="B49" s="68"/>
      <c r="C49" s="69"/>
      <c r="D49" s="38"/>
      <c r="E49" s="74"/>
      <c r="F49" s="91"/>
      <c r="G49" s="72"/>
      <c r="H49" s="598"/>
      <c r="I49" s="144"/>
      <c r="J49" s="43"/>
      <c r="K49" s="44"/>
      <c r="L49" s="37"/>
      <c r="M49" s="390"/>
      <c r="N49" s="391"/>
      <c r="O49" s="392"/>
      <c r="P49" s="91"/>
      <c r="Q49" s="393"/>
      <c r="R49" s="394"/>
    </row>
    <row r="50" spans="1:18">
      <c r="A50" s="62" t="s">
        <v>814</v>
      </c>
      <c r="B50" s="63">
        <v>312884.85304367018</v>
      </c>
      <c r="C50" s="64">
        <v>6.1513468846807872E-3</v>
      </c>
      <c r="D50" s="65">
        <f>D53+D54</f>
        <v>241161.46275563174</v>
      </c>
      <c r="E50" s="64">
        <f>D50/D$56</f>
        <v>7.3324451016108499E-3</v>
      </c>
      <c r="F50" s="91"/>
      <c r="G50" s="66">
        <f>D50-B50</f>
        <v>-71723.390288038441</v>
      </c>
      <c r="H50" s="598">
        <f>G50/B50</f>
        <v>-0.22923254222865116</v>
      </c>
      <c r="I50" s="144"/>
      <c r="J50" s="43">
        <v>9.5780812599080516</v>
      </c>
      <c r="K50" s="44">
        <f>D50/('RCV and ECV'!$B45/100000)</f>
        <v>6.8897582164248528</v>
      </c>
      <c r="L50" s="37"/>
      <c r="M50" s="29">
        <f>'RCV and ECV'!$B$45/1000</f>
        <v>3500289.2</v>
      </c>
      <c r="N50" s="30">
        <f>N51+N52+N54</f>
        <v>6582</v>
      </c>
      <c r="O50" s="25">
        <f t="shared" si="4"/>
        <v>531.7972044971134</v>
      </c>
      <c r="P50" s="94"/>
      <c r="Q50" s="27">
        <v>48.217730473673939</v>
      </c>
      <c r="R50" s="41">
        <f>D50/N50</f>
        <v>36.639541591557546</v>
      </c>
    </row>
    <row r="51" spans="1:18" outlineLevel="2">
      <c r="A51" s="67" t="s">
        <v>811</v>
      </c>
      <c r="B51" s="68">
        <v>33043.276534333745</v>
      </c>
      <c r="C51" s="69"/>
      <c r="D51" s="70">
        <f>'Rates Allocation'!Q54</f>
        <v>26695.914445454488</v>
      </c>
      <c r="E51" s="71"/>
      <c r="F51" s="91"/>
      <c r="G51" s="72">
        <f>D51-B51</f>
        <v>-6347.3620888792575</v>
      </c>
      <c r="H51" s="598">
        <f>G51/B51</f>
        <v>-0.19209239381221793</v>
      </c>
      <c r="I51" s="144"/>
      <c r="J51" s="45">
        <v>19.8970660965898</v>
      </c>
      <c r="K51" s="46">
        <f>D51/('RCV and ECV'!$B46/100000)</f>
        <v>14.398252122020125</v>
      </c>
      <c r="L51" s="37"/>
      <c r="M51" s="375">
        <f>'RCV and ECV'!$B$46/1000</f>
        <v>185410.8</v>
      </c>
      <c r="N51" s="376">
        <f>+'RCV and ECV'!D46</f>
        <v>318</v>
      </c>
      <c r="O51" s="377">
        <f t="shared" si="4"/>
        <v>583.0528301886792</v>
      </c>
      <c r="P51" s="91"/>
      <c r="Q51" s="378">
        <v>105.90793761004406</v>
      </c>
      <c r="R51" s="379">
        <f>D51/N51</f>
        <v>83.9494164951399</v>
      </c>
    </row>
    <row r="52" spans="1:18" outlineLevel="2">
      <c r="A52" s="67" t="s">
        <v>809</v>
      </c>
      <c r="B52" s="68">
        <v>160001.52082428127</v>
      </c>
      <c r="C52" s="69"/>
      <c r="D52" s="70">
        <f>'Rates Allocation'!Q55</f>
        <v>119261.83099210609</v>
      </c>
      <c r="E52" s="71"/>
      <c r="F52" s="91"/>
      <c r="G52" s="72">
        <f>D52-B52</f>
        <v>-40739.68983217518</v>
      </c>
      <c r="H52" s="598">
        <f>G52/B52</f>
        <v>-0.25462064124325917</v>
      </c>
      <c r="I52" s="144"/>
      <c r="J52" s="47">
        <v>19.897066096589796</v>
      </c>
      <c r="K52" s="48">
        <f>D52/('RCV and ECV'!$B47/100000)</f>
        <v>14.398252122020125</v>
      </c>
      <c r="L52" s="37"/>
      <c r="M52" s="380">
        <f>'RCV and ECV'!$B$47/1000</f>
        <v>828307.7</v>
      </c>
      <c r="N52" s="381">
        <f>+'RCV and ECV'!D47</f>
        <v>3040</v>
      </c>
      <c r="O52" s="382">
        <f t="shared" si="4"/>
        <v>272.46963815789474</v>
      </c>
      <c r="P52" s="91"/>
      <c r="Q52" s="383">
        <v>53.033318138641455</v>
      </c>
      <c r="R52" s="384">
        <f>D52/N52</f>
        <v>39.230865457929632</v>
      </c>
    </row>
    <row r="53" spans="1:18" outlineLevel="1">
      <c r="A53" s="67" t="s">
        <v>808</v>
      </c>
      <c r="B53" s="68">
        <v>193044.797358615</v>
      </c>
      <c r="C53" s="69"/>
      <c r="D53" s="70">
        <f>D52+D51</f>
        <v>145957.74543756057</v>
      </c>
      <c r="E53" s="71"/>
      <c r="F53" s="91"/>
      <c r="G53" s="72">
        <f>D53-B53</f>
        <v>-47087.05192105443</v>
      </c>
      <c r="H53" s="598">
        <f>G53/B53</f>
        <v>-0.24391774637459857</v>
      </c>
      <c r="I53" s="144"/>
      <c r="J53" s="47">
        <v>19.897066096589793</v>
      </c>
      <c r="K53" s="48">
        <f>D53/(('RCV and ECV'!B46+'RCV and ECV'!B47)/100000)</f>
        <v>14.398252122020125</v>
      </c>
      <c r="L53" s="37"/>
      <c r="M53" s="380">
        <f>M52+M51</f>
        <v>1013718.5</v>
      </c>
      <c r="N53" s="381">
        <f>N51+N52</f>
        <v>3358</v>
      </c>
      <c r="O53" s="382">
        <f>M53/N53</f>
        <v>301.88162596783798</v>
      </c>
      <c r="P53" s="91"/>
      <c r="Q53" s="383">
        <v>57.98882467966807</v>
      </c>
      <c r="R53" s="384">
        <f>D53/N53</f>
        <v>43.465677616903086</v>
      </c>
    </row>
    <row r="54" spans="1:18" outlineLevel="1">
      <c r="A54" s="67" t="s">
        <v>812</v>
      </c>
      <c r="B54" s="68">
        <v>119840.05568505517</v>
      </c>
      <c r="C54" s="69"/>
      <c r="D54" s="70">
        <f>'Rates Allocation'!Q57</f>
        <v>95203.717318071169</v>
      </c>
      <c r="E54" s="71"/>
      <c r="F54" s="91"/>
      <c r="G54" s="72">
        <f>D54-B54</f>
        <v>-24636.338366983997</v>
      </c>
      <c r="H54" s="598">
        <f>G54/B54</f>
        <v>-0.20557682676424446</v>
      </c>
      <c r="I54" s="144"/>
      <c r="J54" s="49">
        <v>5.2184729714036253</v>
      </c>
      <c r="K54" s="52">
        <f>D54/('RCV and ECV'!$B48/100000)</f>
        <v>3.8287154802423746</v>
      </c>
      <c r="L54" s="37"/>
      <c r="M54" s="385">
        <f>'RCV and ECV'!$B$48/1000</f>
        <v>2486570.7000000002</v>
      </c>
      <c r="N54" s="386">
        <f>+'RCV and ECV'!D48</f>
        <v>3224</v>
      </c>
      <c r="O54" s="387">
        <f t="shared" si="4"/>
        <v>771.26882754342432</v>
      </c>
      <c r="P54" s="91"/>
      <c r="Q54" s="388">
        <v>37.924068254764293</v>
      </c>
      <c r="R54" s="389">
        <f>D54/N54</f>
        <v>29.529688994438949</v>
      </c>
    </row>
    <row r="55" spans="1:18">
      <c r="A55" s="67"/>
      <c r="B55" s="68"/>
      <c r="C55" s="69"/>
      <c r="D55" s="38"/>
      <c r="E55" s="74"/>
      <c r="F55" s="91"/>
      <c r="G55" s="72"/>
      <c r="H55" s="76"/>
      <c r="I55" s="144"/>
      <c r="J55" s="50"/>
      <c r="K55" s="53"/>
      <c r="L55" s="37"/>
      <c r="M55" s="390"/>
      <c r="N55" s="391"/>
      <c r="O55" s="392"/>
      <c r="P55" s="91"/>
      <c r="Q55" s="393"/>
      <c r="R55" s="394"/>
    </row>
    <row r="56" spans="1:18" s="2" customFormat="1" ht="13.5" thickBot="1">
      <c r="A56" s="77"/>
      <c r="B56" s="79">
        <v>50864446.26019603</v>
      </c>
      <c r="C56" s="78">
        <v>1</v>
      </c>
      <c r="D56" s="79">
        <f>D50+D44+D38+D32+D26+D20+D14+D7</f>
        <v>32889637.687522743</v>
      </c>
      <c r="E56" s="78">
        <f>D56/D$56</f>
        <v>1</v>
      </c>
      <c r="F56" s="80"/>
      <c r="G56" s="81">
        <f>G7+G14+G20+G26+G32+G38+G44+G50</f>
        <v>-17974808.572673291</v>
      </c>
      <c r="H56" s="78">
        <f>G56/B56</f>
        <v>-0.35338649870920696</v>
      </c>
      <c r="I56" s="36"/>
      <c r="J56" s="51">
        <v>51.588346090884734</v>
      </c>
      <c r="K56" s="54">
        <f>D56/('RCV and ECV'!$B51/100000)</f>
        <v>32.99889719055551</v>
      </c>
      <c r="L56" s="36"/>
      <c r="M56" s="11">
        <f>M50+M44+M38+M32+M26+M20+M14+M7</f>
        <v>99661963.032000005</v>
      </c>
      <c r="N56" s="11">
        <f>N50+N44+N38+N32+N26+N20+N14+N7</f>
        <v>196228</v>
      </c>
      <c r="O56" s="26">
        <f t="shared" si="4"/>
        <v>507.88859404366355</v>
      </c>
      <c r="P56" s="395"/>
      <c r="Q56" s="28">
        <v>260.30801408486155</v>
      </c>
      <c r="R56" s="42">
        <f>D56/N56</f>
        <v>167.60929983245379</v>
      </c>
    </row>
    <row r="57" spans="1:18">
      <c r="A57" s="37"/>
      <c r="B57" s="143"/>
      <c r="C57" s="143"/>
      <c r="D57" s="143"/>
      <c r="E57" s="143"/>
      <c r="F57" s="37"/>
      <c r="G57" s="82"/>
      <c r="H57" s="144"/>
      <c r="I57" s="144"/>
      <c r="J57" s="96" t="s">
        <v>383</v>
      </c>
      <c r="K57" s="396"/>
      <c r="L57" s="37"/>
      <c r="M57" s="37"/>
      <c r="N57" s="37"/>
      <c r="O57" s="397"/>
      <c r="P57" s="37"/>
      <c r="Q57" s="37"/>
      <c r="R57" s="37"/>
    </row>
    <row r="58" spans="1:18">
      <c r="A58" s="37"/>
      <c r="B58" s="143"/>
      <c r="C58" s="143"/>
      <c r="D58" s="143"/>
      <c r="E58" s="143"/>
      <c r="F58" s="37"/>
      <c r="G58" s="82"/>
      <c r="H58" s="144"/>
      <c r="I58" s="144"/>
      <c r="J58" s="96" t="s">
        <v>802</v>
      </c>
      <c r="K58" s="398"/>
      <c r="L58" s="37"/>
      <c r="M58" s="37"/>
      <c r="N58" s="37"/>
      <c r="O58" s="37"/>
      <c r="P58" s="37"/>
      <c r="Q58" s="37"/>
      <c r="R58" s="37"/>
    </row>
    <row r="59" spans="1:18">
      <c r="A59" s="37"/>
      <c r="B59" s="399"/>
      <c r="C59" s="143"/>
      <c r="D59" s="143"/>
      <c r="E59" s="143"/>
      <c r="F59" s="144"/>
      <c r="G59" s="144"/>
      <c r="H59" s="144"/>
      <c r="I59" s="37"/>
      <c r="J59" s="143" t="s">
        <v>803</v>
      </c>
      <c r="K59" s="400"/>
      <c r="L59" s="37"/>
      <c r="M59" s="37"/>
      <c r="N59" s="37"/>
      <c r="O59" s="37"/>
      <c r="P59" s="37"/>
      <c r="Q59" s="37"/>
      <c r="R59" s="37"/>
    </row>
  </sheetData>
  <mergeCells count="8">
    <mergeCell ref="Q5:R5"/>
    <mergeCell ref="B4:E4"/>
    <mergeCell ref="J4:K4"/>
    <mergeCell ref="M4:R4"/>
    <mergeCell ref="F4:H4"/>
    <mergeCell ref="F5:H5"/>
    <mergeCell ref="B5:C5"/>
    <mergeCell ref="D5:E5"/>
  </mergeCells>
  <phoneticPr fontId="4" type="noConversion"/>
  <pageMargins left="0.28999999999999998" right="0.15748031496062992" top="0.34" bottom="0.4" header="0.16" footer="0.17"/>
  <pageSetup paperSize="9" scale="69" orientation="landscape" r:id="rId1"/>
  <headerFooter alignWithMargins="0">
    <oddFooter>&amp;L&amp;BGreater Wellington Confidential&amp;B&amp;C&amp;D&amp;RPage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5"/>
    <pageSetUpPr fitToPage="1"/>
  </sheetPr>
  <dimension ref="A1:S66"/>
  <sheetViews>
    <sheetView workbookViewId="0">
      <pane xSplit="1" ySplit="4" topLeftCell="J5" activePane="bottomRight" state="frozen"/>
      <selection activeCell="P17" sqref="P17"/>
      <selection pane="topRight" activeCell="P17" sqref="P17"/>
      <selection pane="bottomLeft" activeCell="P17" sqref="P17"/>
      <selection pane="bottomRight" activeCell="Z2" sqref="Z2"/>
    </sheetView>
  </sheetViews>
  <sheetFormatPr defaultColWidth="9.140625" defaultRowHeight="12.75" outlineLevelRow="1"/>
  <cols>
    <col min="1" max="1" width="22.42578125" style="12" customWidth="1"/>
    <col min="2" max="2" width="13.85546875" style="12" customWidth="1"/>
    <col min="3" max="3" width="14.42578125" style="6" customWidth="1"/>
    <col min="4" max="4" width="14.85546875" style="6" customWidth="1"/>
    <col min="5" max="5" width="14.28515625" style="6" customWidth="1"/>
    <col min="6" max="6" width="14.42578125" style="6" customWidth="1"/>
    <col min="7" max="10" width="9.28515625" style="6" customWidth="1"/>
    <col min="11" max="12" width="9.7109375" style="6" customWidth="1"/>
    <col min="13" max="13" width="10.5703125" style="6" customWidth="1"/>
    <col min="14" max="14" width="11.140625" style="6" bestFit="1" customWidth="1"/>
    <col min="15" max="15" width="11" style="6" customWidth="1"/>
    <col min="16" max="16" width="10.140625" style="6" customWidth="1"/>
    <col min="17" max="17" width="11.28515625" style="16" customWidth="1"/>
    <col min="18" max="18" width="12.5703125" style="16" bestFit="1" customWidth="1"/>
    <col min="19" max="19" width="7.85546875" style="12" bestFit="1" customWidth="1"/>
    <col min="20" max="16384" width="9.140625" style="12"/>
  </cols>
  <sheetData>
    <row r="1" spans="1:19" ht="15.75">
      <c r="A1" s="482" t="s">
        <v>543</v>
      </c>
    </row>
    <row r="2" spans="1:19" ht="15.75">
      <c r="A2" s="482" t="str">
        <f>Instructions!A2</f>
        <v>Final Public Transport Rate 2015/16</v>
      </c>
    </row>
    <row r="3" spans="1:19" ht="15.75">
      <c r="A3" s="482" t="s">
        <v>792</v>
      </c>
    </row>
    <row r="4" spans="1:19" ht="55.9" customHeight="1">
      <c r="A4" s="116"/>
      <c r="B4" s="117" t="s">
        <v>994</v>
      </c>
      <c r="C4" s="117" t="s">
        <v>995</v>
      </c>
      <c r="D4" s="118" t="s">
        <v>996</v>
      </c>
      <c r="E4" s="118" t="s">
        <v>997</v>
      </c>
      <c r="F4" s="118" t="s">
        <v>998</v>
      </c>
      <c r="G4" s="149" t="s">
        <v>657</v>
      </c>
      <c r="H4" s="150" t="s">
        <v>459</v>
      </c>
      <c r="I4" s="150" t="s">
        <v>460</v>
      </c>
      <c r="J4" s="151" t="s">
        <v>461</v>
      </c>
      <c r="K4" s="134" t="s">
        <v>368</v>
      </c>
      <c r="L4" s="117" t="s">
        <v>818</v>
      </c>
      <c r="M4" s="134" t="s">
        <v>654</v>
      </c>
      <c r="N4" s="134" t="s">
        <v>655</v>
      </c>
      <c r="O4" s="134" t="s">
        <v>653</v>
      </c>
      <c r="P4" s="134" t="s">
        <v>656</v>
      </c>
      <c r="Q4" s="280" t="s">
        <v>361</v>
      </c>
      <c r="R4" s="114" t="s">
        <v>818</v>
      </c>
      <c r="S4" s="115" t="s">
        <v>462</v>
      </c>
    </row>
    <row r="5" spans="1:19">
      <c r="A5" s="119" t="s">
        <v>819</v>
      </c>
      <c r="B5" s="75">
        <f>('RCV and ECV'!$B$10+'RCV and ECV'!$B$11+'RCV and ECV'!$B$16+'RCV and ECV'!$B$21+'RCV and ECV'!$B$26+'RCV and ECV'!$B$31+'RCV and ECV'!$B$36+'RCV and ECV'!$B$41+'RCV and ECV'!$B$46)</f>
        <v>18043873532</v>
      </c>
      <c r="C5" s="75">
        <f>('RCV and ECV'!$G$10+'RCV and ECV'!$G$11+'RCV and ECV'!$G$16+'RCV and ECV'!$G$21+'RCV and ECV'!$G$26+'RCV and ECV'!$G$31+'RCV and ECV'!$G$36+'RCV and ECV'!$G$41+'RCV and ECV'!$G$46)</f>
        <v>19066511880.299187</v>
      </c>
      <c r="D5" s="75">
        <f>D11+D12+D18+D24+D30+D36+D42+D48+D54</f>
        <v>19066511880.299187</v>
      </c>
      <c r="E5" s="75">
        <f>E11+E12+E18+E24+E30+E36+E42+E48+E54</f>
        <v>18181245636.767033</v>
      </c>
      <c r="F5" s="75">
        <f>F11+F12+F18+F24+F30+F36+F42+F48+F54</f>
        <v>19066511880.299187</v>
      </c>
      <c r="G5" s="145"/>
      <c r="H5" s="75">
        <f>H59</f>
        <v>56901</v>
      </c>
      <c r="I5" s="75"/>
      <c r="J5" s="102">
        <f>'Total Trips Model'!K16</f>
        <v>155883</v>
      </c>
      <c r="K5" s="75">
        <f>K11+K12+K18+K24+K30+K36+K42+K48+K54</f>
        <v>188859.46059882204</v>
      </c>
      <c r="L5" s="75">
        <f>'Summary Costs'!D20/E8*E5</f>
        <v>319693.36042731261</v>
      </c>
      <c r="M5" s="75"/>
      <c r="N5" s="75">
        <f>('Summary Costs'!E12)*'Policy Allocations'!H18</f>
        <v>12531405.772204293</v>
      </c>
      <c r="O5" s="75"/>
      <c r="P5" s="75">
        <f>$P$8*SUM(M5:O5)/$P$62</f>
        <v>2019932.1293933755</v>
      </c>
      <c r="Q5" s="281">
        <f>SUM(K5:P5)</f>
        <v>15059890.722623803</v>
      </c>
      <c r="R5" s="111">
        <f>L5/E5/1000</f>
        <v>1.7583688533463984E-8</v>
      </c>
      <c r="S5" s="107">
        <f>N5/H5</f>
        <v>220.23173181849691</v>
      </c>
    </row>
    <row r="6" spans="1:19">
      <c r="A6" s="119" t="s">
        <v>820</v>
      </c>
      <c r="B6" s="75">
        <f>('RCV and ECV'!$B$47+'RCV and ECV'!$B$42+'RCV and ECV'!$B$37+'RCV and ECV'!$B$32++'RCV and ECV'!$B$27+'RCV and ECV'!$B$22+'RCV and ECV'!$B$17+'RCV and ECV'!$B$12)</f>
        <v>71712338450</v>
      </c>
      <c r="C6" s="75">
        <f>'RCV and ECV'!$G$47+'RCV and ECV'!$G$42+'RCV and ECV'!$G$37+'RCV and ECV'!$G$32+'RCV and ECV'!$G$27+'RCV and ECV'!$G$22+'RCV and ECV'!$G$17+'RCV and ECV'!$G$12</f>
        <v>75338480472.446533</v>
      </c>
      <c r="D6" s="75">
        <f>D13+D19+D25+D31+D37+D43+D49+D55</f>
        <v>75338480472.446533</v>
      </c>
      <c r="E6" s="75">
        <f>E13+E19+E25+E31+E37+E43+E49+E55</f>
        <v>71123634866.651428</v>
      </c>
      <c r="F6" s="75">
        <f>F13+F19+F25+F31+F37+F43+F49+F55</f>
        <v>75338480472.446533</v>
      </c>
      <c r="G6" s="145">
        <f>G59</f>
        <v>56901</v>
      </c>
      <c r="H6" s="75"/>
      <c r="I6" s="75">
        <f>'Total Trips Model'!K16</f>
        <v>155883</v>
      </c>
      <c r="J6" s="102"/>
      <c r="K6" s="75">
        <f>K13+K19+K25+K31+K37+K43+K49+K55</f>
        <v>775271.40153364034</v>
      </c>
      <c r="L6" s="75">
        <f>'Summary Costs'!D20/E8*E6</f>
        <v>1250615.8428630182</v>
      </c>
      <c r="M6" s="75">
        <f>('Summary Costs'!E12)*'Policy Allocations'!H17-M7</f>
        <v>12125924.233118655</v>
      </c>
      <c r="N6" s="75"/>
      <c r="O6" s="75">
        <f>'Summary Costs'!E8</f>
        <v>1007850.1857862865</v>
      </c>
      <c r="P6" s="75">
        <f>$P$8*SUM(M6:O6)/$P$62</f>
        <v>2117027.6831826149</v>
      </c>
      <c r="Q6" s="281">
        <f>SUM(K6:P6)</f>
        <v>17276689.346484214</v>
      </c>
      <c r="R6" s="112">
        <f>L6/E6/1000</f>
        <v>1.7583688533463984E-8</v>
      </c>
      <c r="S6" s="108">
        <f>(M6+M7)/G6</f>
        <v>220.23173181849691</v>
      </c>
    </row>
    <row r="7" spans="1:19">
      <c r="A7" s="119" t="s">
        <v>821</v>
      </c>
      <c r="B7" s="103">
        <f>('RCV and ECV'!$B$13+'RCV and ECV'!$B$18+'RCV and ECV'!$B$23+'RCV and ECV'!$B$28+'RCV and ECV'!$B$33+'RCV and ECV'!$B$38+'RCV and ECV'!$B$43+'RCV and ECV'!$B$48)</f>
        <v>9905751050</v>
      </c>
      <c r="C7" s="103">
        <f>'RCV and ECV'!$G$13+'RCV and ECV'!$G$18+'RCV and ECV'!$G$23+'RCV and ECV'!$G$28+'RCV and ECV'!$G$33+'RCV and ECV'!$G$38+'RCV and ECV'!$G$43+'RCV and ECV'!$G$48</f>
        <v>10077042352.25429</v>
      </c>
      <c r="D7" s="103">
        <f>D15+D21+D27+D33+D39+D45+D51+D57</f>
        <v>5038521176.1271448</v>
      </c>
      <c r="E7" s="106">
        <f>E15+E21+E27+E33+E39+E45+E51+E57</f>
        <v>1308347974.7578869</v>
      </c>
      <c r="F7" s="106">
        <f>F15+F21+F27+F33+F39+F45+F51+F57</f>
        <v>2519260588.0635724</v>
      </c>
      <c r="G7" s="146"/>
      <c r="H7" s="103"/>
      <c r="I7" s="103"/>
      <c r="J7" s="104"/>
      <c r="K7" s="103">
        <f>K15+K21+K27+K33+K39+K45+K51+K57</f>
        <v>59211.093953048476</v>
      </c>
      <c r="L7" s="103">
        <f>'Summary Costs'!D20/E8*E7</f>
        <v>23005.583281531082</v>
      </c>
      <c r="M7" s="103">
        <f>(('Summary Costs'!E12)*'Policy Allocations'!H17/(F6+F7)*F7)</f>
        <v>405481.53908563696</v>
      </c>
      <c r="N7" s="103"/>
      <c r="O7" s="103"/>
      <c r="P7" s="103">
        <f>$P$8*SUM(M7:O7)/$P$62</f>
        <v>65359.402094509191</v>
      </c>
      <c r="Q7" s="282">
        <f>SUM(K7:P7)</f>
        <v>553057.61841472576</v>
      </c>
      <c r="R7" s="113">
        <f>L7/E7/1000</f>
        <v>1.7583688533463984E-8</v>
      </c>
      <c r="S7" s="109"/>
    </row>
    <row r="8" spans="1:19">
      <c r="A8" s="120" t="s">
        <v>739</v>
      </c>
      <c r="B8" s="65">
        <f t="shared" ref="B8:J8" si="0">SUM(B5:B7)</f>
        <v>99661963032</v>
      </c>
      <c r="C8" s="65">
        <f t="shared" si="0"/>
        <v>104482034705.00002</v>
      </c>
      <c r="D8" s="65">
        <f t="shared" si="0"/>
        <v>99443513528.872879</v>
      </c>
      <c r="E8" s="65">
        <f t="shared" si="0"/>
        <v>90613228478.176346</v>
      </c>
      <c r="F8" s="65">
        <f t="shared" si="0"/>
        <v>96924252940.809296</v>
      </c>
      <c r="G8" s="147">
        <f t="shared" si="0"/>
        <v>56901</v>
      </c>
      <c r="H8" s="65">
        <f t="shared" si="0"/>
        <v>56901</v>
      </c>
      <c r="I8" s="65">
        <f t="shared" si="0"/>
        <v>155883</v>
      </c>
      <c r="J8" s="121">
        <f t="shared" si="0"/>
        <v>155883</v>
      </c>
      <c r="K8" s="65">
        <f t="shared" ref="K8:Q8" si="1">SUM(K5:K7)</f>
        <v>1023341.9560855109</v>
      </c>
      <c r="L8" s="65">
        <f t="shared" si="1"/>
        <v>1593314.7865718617</v>
      </c>
      <c r="M8" s="65">
        <f t="shared" si="1"/>
        <v>12531405.772204293</v>
      </c>
      <c r="N8" s="65">
        <f t="shared" si="1"/>
        <v>12531405.772204293</v>
      </c>
      <c r="O8" s="65">
        <f t="shared" si="1"/>
        <v>1007850.1857862865</v>
      </c>
      <c r="P8" s="65">
        <f>'Summary Costs'!E18</f>
        <v>4202319.2146704998</v>
      </c>
      <c r="Q8" s="283">
        <f t="shared" si="1"/>
        <v>32889637.687522743</v>
      </c>
      <c r="R8" s="101"/>
      <c r="S8" s="135"/>
    </row>
    <row r="9" spans="1:19">
      <c r="A9" s="119"/>
      <c r="B9" s="75"/>
      <c r="C9" s="75"/>
      <c r="D9" s="75"/>
      <c r="E9" s="75"/>
      <c r="F9" s="75"/>
      <c r="G9" s="145"/>
      <c r="H9" s="75"/>
      <c r="I9" s="75"/>
      <c r="J9" s="102"/>
      <c r="K9" s="75"/>
      <c r="L9" s="75"/>
      <c r="M9" s="75"/>
      <c r="N9" s="75"/>
      <c r="O9" s="75"/>
      <c r="P9" s="75"/>
      <c r="Q9" s="284"/>
      <c r="R9" s="75"/>
      <c r="S9" s="102"/>
    </row>
    <row r="10" spans="1:19">
      <c r="A10" s="122" t="s">
        <v>799</v>
      </c>
      <c r="B10" s="123">
        <f>'RCV and ECV'!$B$9</f>
        <v>47137086782</v>
      </c>
      <c r="C10" s="123">
        <f>'RCV and ECV'!$G$9</f>
        <v>50999224059</v>
      </c>
      <c r="D10" s="123">
        <f>D11+D14+D15</f>
        <v>50706939737</v>
      </c>
      <c r="E10" s="123">
        <f>E11+E14+E15</f>
        <v>50560797576</v>
      </c>
      <c r="F10" s="123">
        <f>F11+F14+F15</f>
        <v>50560797576</v>
      </c>
      <c r="G10" s="145">
        <f>+'Total Trips Model'!$K$12-'Rates Allocation'!$J$10</f>
        <v>8847</v>
      </c>
      <c r="H10" s="75">
        <f>+'Total Trips Model'!$J$13-'Rates Allocation'!$J$10</f>
        <v>35577</v>
      </c>
      <c r="I10" s="65">
        <f>'Total Trips Model'!$J$12</f>
        <v>88449</v>
      </c>
      <c r="J10" s="105">
        <f>'Total Trips Model'!J12</f>
        <v>88449</v>
      </c>
      <c r="K10" s="65">
        <f>paratransit*'Policy Allocations'!H36</f>
        <v>414618.19436137401</v>
      </c>
      <c r="L10" s="65">
        <f>L11+L14+L15</f>
        <v>889045.31657990476</v>
      </c>
      <c r="M10" s="65">
        <f>M11+M14+M15</f>
        <v>4276653.5723755732</v>
      </c>
      <c r="N10" s="65">
        <f>(H10*$S$5)+(((H17+H23+H29+H35+H41+H47+H53) *S5)*Cbd)</f>
        <v>8868353.0417521428</v>
      </c>
      <c r="O10" s="65">
        <f>'Bus-Sum'!E8</f>
        <v>139926.66744500035</v>
      </c>
      <c r="P10" s="65">
        <f>$P$8*SUM(M10:O10)/$P$62</f>
        <v>2141392.9179292582</v>
      </c>
      <c r="Q10" s="283">
        <f t="shared" ref="Q10:Q57" si="2">SUM(K10:P10)</f>
        <v>16729989.710443253</v>
      </c>
      <c r="R10" s="75"/>
      <c r="S10" s="102"/>
    </row>
    <row r="11" spans="1:19">
      <c r="A11" s="124" t="s">
        <v>800</v>
      </c>
      <c r="B11" s="125">
        <f>'RCV and ECV'!$B$10</f>
        <v>7225543732</v>
      </c>
      <c r="C11" s="125">
        <f>'RCV and ECV'!$G$10</f>
        <v>7817562537</v>
      </c>
      <c r="D11" s="125">
        <f>'RCV and ECV'!$G$10</f>
        <v>7817562537</v>
      </c>
      <c r="E11" s="125">
        <f>C11</f>
        <v>7817562537</v>
      </c>
      <c r="F11" s="125">
        <f>'RCV and ECV'!$G$10</f>
        <v>7817562537</v>
      </c>
      <c r="G11" s="145"/>
      <c r="H11" s="75"/>
      <c r="I11" s="75"/>
      <c r="J11" s="102"/>
      <c r="K11" s="75">
        <f>$K$10*D11/$D$10</f>
        <v>63922.289142464993</v>
      </c>
      <c r="L11" s="75">
        <f>E11*$R$5*1000</f>
        <v>137461.58474148449</v>
      </c>
      <c r="M11" s="75">
        <f>M8*Cbd</f>
        <v>2756909.2698849444</v>
      </c>
      <c r="N11" s="75">
        <f>N10/(1+'Policy Allocations'!H19)</f>
        <v>8062139.1288655838</v>
      </c>
      <c r="O11" s="75">
        <f>(O10*'Policy Allocations'!H20)</f>
        <v>69963.333722500174</v>
      </c>
      <c r="P11" s="75">
        <f>$P$8*SUM(M11:O11)/$P$62</f>
        <v>1755195.311331358</v>
      </c>
      <c r="Q11" s="281">
        <f t="shared" si="2"/>
        <v>12845590.917688336</v>
      </c>
      <c r="R11" s="75"/>
      <c r="S11" s="102"/>
    </row>
    <row r="12" spans="1:19" outlineLevel="1">
      <c r="A12" s="124" t="s">
        <v>801</v>
      </c>
      <c r="B12" s="125">
        <f>'RCV and ECV'!$B$11</f>
        <v>3445867200</v>
      </c>
      <c r="C12" s="125">
        <f>'RCV and ECV'!$G$11</f>
        <v>3728201410</v>
      </c>
      <c r="D12" s="125">
        <f>'RCV and ECV'!$G$11</f>
        <v>3728201410</v>
      </c>
      <c r="E12" s="125">
        <f>C12</f>
        <v>3728201410</v>
      </c>
      <c r="F12" s="125">
        <f>'RCV and ECV'!$G$11</f>
        <v>3728201410</v>
      </c>
      <c r="G12" s="145"/>
      <c r="H12" s="75"/>
      <c r="I12" s="75"/>
      <c r="J12" s="102"/>
      <c r="K12" s="75">
        <f>$K$10*D12/$D$10</f>
        <v>30484.587412436547</v>
      </c>
      <c r="L12" s="75">
        <f>E12*$R$5*1000</f>
        <v>65555.53238346125</v>
      </c>
      <c r="M12" s="75">
        <f>(((G10*$S$6)*(1-Cbd))/($F$12+$F$13+$F$15))*F12</f>
        <v>132556.94956676321</v>
      </c>
      <c r="N12" s="75">
        <f>($N$10-$N$11)*(F12/SUM($F$12,$F13,$F$15))</f>
        <v>70320.551171262196</v>
      </c>
      <c r="O12" s="75">
        <f>($O$10-$O$11)*F12/($F$12+$F$13+$F$15)</f>
        <v>6102.4253123220806</v>
      </c>
      <c r="P12" s="75">
        <f>$P$8*SUM(M12:O12)/$P$62</f>
        <v>33685.388112134846</v>
      </c>
      <c r="Q12" s="281">
        <f t="shared" si="2"/>
        <v>338705.43395838013</v>
      </c>
      <c r="R12" s="75"/>
      <c r="S12" s="102"/>
    </row>
    <row r="13" spans="1:19" outlineLevel="1">
      <c r="A13" s="124" t="s">
        <v>802</v>
      </c>
      <c r="B13" s="125">
        <f>'RCV and ECV'!$B$12</f>
        <v>35925376200</v>
      </c>
      <c r="C13" s="125">
        <f>'RCV and ECV'!$G$12</f>
        <v>38868891468</v>
      </c>
      <c r="D13" s="125">
        <f>'RCV and ECV'!$G$12</f>
        <v>38868891468</v>
      </c>
      <c r="E13" s="125">
        <f>C13</f>
        <v>38868891468</v>
      </c>
      <c r="F13" s="125">
        <f>'RCV and ECV'!$G$12</f>
        <v>38868891468</v>
      </c>
      <c r="G13" s="145"/>
      <c r="H13" s="75"/>
      <c r="I13" s="75"/>
      <c r="J13" s="102"/>
      <c r="K13" s="75">
        <f>$K$10*D13/$D$10</f>
        <v>317821.38068038417</v>
      </c>
      <c r="L13" s="75">
        <f>E13*$R$6*1000</f>
        <v>683458.48121432762</v>
      </c>
      <c r="M13" s="75">
        <f>(((G10*$S$6)*(1-Cbd))/($F$12+$F$13+$F$15))*F13</f>
        <v>1381991.239051559</v>
      </c>
      <c r="N13" s="75">
        <f>($N$10-$N$11)*(F13/SUM($F$12,$F13,$F$15))</f>
        <v>733136.85899972089</v>
      </c>
      <c r="O13" s="75">
        <f>($O$10-$O$11)*F13/($F$12+$F$13+$F$15)</f>
        <v>63621.698795565593</v>
      </c>
      <c r="P13" s="75">
        <f>$P$8*SUM(M13:O13)/$P$62</f>
        <v>351191.78139789042</v>
      </c>
      <c r="Q13" s="281">
        <f t="shared" si="2"/>
        <v>3531221.4401394473</v>
      </c>
      <c r="R13" s="75"/>
      <c r="S13" s="102"/>
    </row>
    <row r="14" spans="1:19">
      <c r="A14" s="124" t="s">
        <v>808</v>
      </c>
      <c r="B14" s="125">
        <f>B13+B12</f>
        <v>39371243400</v>
      </c>
      <c r="C14" s="125">
        <f>C13+C12</f>
        <v>42597092878</v>
      </c>
      <c r="D14" s="125">
        <f>D13+D12</f>
        <v>42597092878</v>
      </c>
      <c r="E14" s="125">
        <f>E13+E12</f>
        <v>42597092878</v>
      </c>
      <c r="F14" s="125">
        <f>F13+F12</f>
        <v>42597092878</v>
      </c>
      <c r="G14" s="145"/>
      <c r="H14" s="75"/>
      <c r="I14" s="75"/>
      <c r="J14" s="102"/>
      <c r="K14" s="125">
        <f t="shared" ref="K14:Q14" si="3">K13+K12</f>
        <v>348305.96809282072</v>
      </c>
      <c r="L14" s="125">
        <f t="shared" si="3"/>
        <v>749014.01359778887</v>
      </c>
      <c r="M14" s="125">
        <f t="shared" si="3"/>
        <v>1514548.1886183221</v>
      </c>
      <c r="N14" s="125">
        <f t="shared" si="3"/>
        <v>803457.41017098306</v>
      </c>
      <c r="O14" s="125">
        <f t="shared" si="3"/>
        <v>69724.124107887677</v>
      </c>
      <c r="P14" s="125">
        <f t="shared" si="3"/>
        <v>384877.16951002524</v>
      </c>
      <c r="Q14" s="281">
        <f t="shared" si="3"/>
        <v>3869926.8740978274</v>
      </c>
      <c r="R14" s="75"/>
      <c r="S14" s="102"/>
    </row>
    <row r="15" spans="1:19">
      <c r="A15" s="124" t="s">
        <v>803</v>
      </c>
      <c r="B15" s="125">
        <f>'RCV and ECV'!$B$13</f>
        <v>540299650</v>
      </c>
      <c r="C15" s="125">
        <f>'RCV and ECV'!$G$13</f>
        <v>584568644</v>
      </c>
      <c r="D15" s="125">
        <f>C15*(1-'Policy Allocations'!H32)</f>
        <v>292284322</v>
      </c>
      <c r="E15" s="125">
        <f>C15*(1-'Policy Allocations'!H28)</f>
        <v>146142161</v>
      </c>
      <c r="F15" s="125">
        <f>C15*(1-'Policy Allocations'!H21)</f>
        <v>146142161</v>
      </c>
      <c r="G15" s="145"/>
      <c r="H15" s="75"/>
      <c r="I15" s="75"/>
      <c r="J15" s="102"/>
      <c r="K15" s="75">
        <f>$K$10*D15/$D$10</f>
        <v>2389.9371260883004</v>
      </c>
      <c r="L15" s="75">
        <f>E15*$R$7*1000</f>
        <v>2569.7182406313477</v>
      </c>
      <c r="M15" s="75">
        <f>(((G10*$S$6)*(1-Cbd))/($F$12+$F$13+$F$15))*(F15)</f>
        <v>5196.1138723068052</v>
      </c>
      <c r="N15" s="75">
        <f>($N$10-$N$11)*(F15/SUM($F$12,$F13,$F$15))</f>
        <v>2756.5027155760176</v>
      </c>
      <c r="O15" s="75">
        <f>($O$10-$O$11)*F15/($F$12+$F$13+$F$15)</f>
        <v>239.20961461249189</v>
      </c>
      <c r="P15" s="75">
        <f>$P$8*SUM(M15:O15)/$P$62</f>
        <v>1320.4370878747932</v>
      </c>
      <c r="Q15" s="281">
        <f t="shared" si="2"/>
        <v>14471.918657089755</v>
      </c>
      <c r="R15" s="75"/>
      <c r="S15" s="102"/>
    </row>
    <row r="16" spans="1:19">
      <c r="A16" s="122"/>
      <c r="B16" s="123"/>
      <c r="C16" s="126"/>
      <c r="D16" s="123"/>
      <c r="E16" s="126"/>
      <c r="F16" s="127"/>
      <c r="G16" s="145"/>
      <c r="H16" s="75"/>
      <c r="I16" s="75"/>
      <c r="J16" s="102"/>
      <c r="K16" s="75"/>
      <c r="L16" s="75"/>
      <c r="M16" s="75"/>
      <c r="N16" s="75"/>
      <c r="O16" s="75"/>
      <c r="P16" s="75"/>
      <c r="Q16" s="281"/>
      <c r="R16" s="65"/>
      <c r="S16" s="102"/>
    </row>
    <row r="17" spans="1:19">
      <c r="A17" s="122" t="s">
        <v>804</v>
      </c>
      <c r="B17" s="123">
        <f>'RCV and ECV'!$B$15</f>
        <v>16996643500</v>
      </c>
      <c r="C17" s="123">
        <f>'RCV and ECV'!$G$15</f>
        <v>17421025464</v>
      </c>
      <c r="D17" s="123">
        <f>D20+D21</f>
        <v>17281117766.028732</v>
      </c>
      <c r="E17" s="123">
        <f>E20+E21</f>
        <v>17211163917.043102</v>
      </c>
      <c r="F17" s="123">
        <f>F20+F21</f>
        <v>17211163917.043102</v>
      </c>
      <c r="G17" s="147">
        <f>'Total Trips Model'!$K$11-(J17)</f>
        <v>17511</v>
      </c>
      <c r="H17" s="65">
        <f>'Total Trips Model'!I13-(J17)</f>
        <v>12273</v>
      </c>
      <c r="I17" s="65">
        <f>'Total Trips Model'!$I$11</f>
        <v>24369</v>
      </c>
      <c r="J17" s="105">
        <f>'Total Trips Model'!I11</f>
        <v>24369</v>
      </c>
      <c r="K17" s="65">
        <f>paratransit*'Policy Allocations'!H37</f>
        <v>213301.81915034176</v>
      </c>
      <c r="L17" s="65">
        <f>SUM(L20:L21)</f>
        <v>302635.74561567983</v>
      </c>
      <c r="M17" s="65">
        <f>(G17*$S$6*(1-Cbd))</f>
        <v>3008052.7275814856</v>
      </c>
      <c r="N17" s="65">
        <f>(H17*$S$5)*(1-Cbd)</f>
        <v>2108265.1547945621</v>
      </c>
      <c r="O17" s="65">
        <f>'Bus-Sum'!E9</f>
        <v>291198.74035851425</v>
      </c>
      <c r="P17" s="65">
        <f>$P$8*SUM(M17:O17)/$P$62</f>
        <v>871635.37475723727</v>
      </c>
      <c r="Q17" s="283">
        <f t="shared" si="2"/>
        <v>6795089.5622578207</v>
      </c>
      <c r="R17" s="75"/>
      <c r="S17" s="102"/>
    </row>
    <row r="18" spans="1:19" outlineLevel="1">
      <c r="A18" s="124" t="s">
        <v>801</v>
      </c>
      <c r="B18" s="125">
        <f>'RCV and ECV'!$B$16</f>
        <v>3291845500</v>
      </c>
      <c r="C18" s="125">
        <f>'RCV and ECV'!$G$16</f>
        <v>3374038190.4847159</v>
      </c>
      <c r="D18" s="125">
        <f>'RCV and ECV'!$G$16</f>
        <v>3374038190.4847159</v>
      </c>
      <c r="E18" s="125">
        <f>C18</f>
        <v>3374038190.4847159</v>
      </c>
      <c r="F18" s="125">
        <f>'RCV and ECV'!$G$16</f>
        <v>3374038190.4847159</v>
      </c>
      <c r="G18" s="145"/>
      <c r="H18" s="75"/>
      <c r="I18" s="75"/>
      <c r="J18" s="102"/>
      <c r="K18" s="75">
        <f>$K$17*D18/$D$17</f>
        <v>41645.945225133692</v>
      </c>
      <c r="L18" s="75">
        <f>E18*$R$5*1000</f>
        <v>59328.036641495673</v>
      </c>
      <c r="M18" s="75">
        <f>$M$17*($F18/$F$17)</f>
        <v>589691.94824769918</v>
      </c>
      <c r="N18" s="75">
        <f>$N$17*F18/$F$17</f>
        <v>413299.59915733046</v>
      </c>
      <c r="O18" s="75">
        <f>$O$17*F18/$F$17</f>
        <v>57085.951637340942</v>
      </c>
      <c r="P18" s="75">
        <f>$P$8*SUM(M18:O18)/$P$62</f>
        <v>170873.45497280188</v>
      </c>
      <c r="Q18" s="281">
        <f t="shared" si="2"/>
        <v>1331924.9358818019</v>
      </c>
      <c r="R18" s="75"/>
      <c r="S18" s="102"/>
    </row>
    <row r="19" spans="1:19" outlineLevel="1">
      <c r="A19" s="124" t="s">
        <v>802</v>
      </c>
      <c r="B19" s="125">
        <f>'RCV and ECV'!$B$17</f>
        <v>13431799000</v>
      </c>
      <c r="C19" s="125">
        <f>'RCV and ECV'!$G$17</f>
        <v>13767171877.572752</v>
      </c>
      <c r="D19" s="125">
        <f>'RCV and ECV'!$G$17</f>
        <v>13767171877.572752</v>
      </c>
      <c r="E19" s="125">
        <f>C19</f>
        <v>13767171877.572752</v>
      </c>
      <c r="F19" s="125">
        <f>'RCV and ECV'!$G$17</f>
        <v>13767171877.572752</v>
      </c>
      <c r="G19" s="145"/>
      <c r="H19" s="75"/>
      <c r="I19" s="75"/>
      <c r="J19" s="102"/>
      <c r="K19" s="75">
        <f>$K$17*D19/$D$17</f>
        <v>169928.98525432174</v>
      </c>
      <c r="L19" s="75">
        <f>E19*$R$6*1000</f>
        <v>242077.66228190382</v>
      </c>
      <c r="M19" s="75">
        <f>$M$17*($F19/$F$17)</f>
        <v>2406134.7109946376</v>
      </c>
      <c r="N19" s="75">
        <f>$N$17*F19/$F$17</f>
        <v>1686396.6254375644</v>
      </c>
      <c r="O19" s="75">
        <f>$O$17*F19/$F$17</f>
        <v>232929.2271209218</v>
      </c>
      <c r="P19" s="75">
        <f>$P$8*SUM(M19:O19)/$P$62</f>
        <v>697219.2047379578</v>
      </c>
      <c r="Q19" s="281">
        <f t="shared" si="2"/>
        <v>5434686.4158273069</v>
      </c>
      <c r="R19" s="75"/>
      <c r="S19" s="102"/>
    </row>
    <row r="20" spans="1:19">
      <c r="A20" s="124" t="s">
        <v>808</v>
      </c>
      <c r="B20" s="125">
        <f>B19+B18</f>
        <v>16723644500</v>
      </c>
      <c r="C20" s="125">
        <f>C19+C18</f>
        <v>17141210068.057468</v>
      </c>
      <c r="D20" s="125">
        <f>D19+D18</f>
        <v>17141210068.057468</v>
      </c>
      <c r="E20" s="125">
        <f>E19+E18</f>
        <v>17141210068.057468</v>
      </c>
      <c r="F20" s="125">
        <f>F19+F18</f>
        <v>17141210068.057468</v>
      </c>
      <c r="G20" s="145"/>
      <c r="H20" s="75"/>
      <c r="I20" s="75"/>
      <c r="J20" s="102"/>
      <c r="K20" s="75">
        <f>$K$17*D20/$D$17</f>
        <v>211574.93047945545</v>
      </c>
      <c r="L20" s="125">
        <f t="shared" ref="L20:Q20" si="4">L19+L18</f>
        <v>301405.6989233995</v>
      </c>
      <c r="M20" s="125">
        <f t="shared" si="4"/>
        <v>2995826.6592423366</v>
      </c>
      <c r="N20" s="125">
        <f t="shared" si="4"/>
        <v>2099696.2245948948</v>
      </c>
      <c r="O20" s="125">
        <f t="shared" si="4"/>
        <v>290015.17875826277</v>
      </c>
      <c r="P20" s="125">
        <f t="shared" si="4"/>
        <v>868092.65971075965</v>
      </c>
      <c r="Q20" s="281">
        <f t="shared" si="4"/>
        <v>6766611.3517091088</v>
      </c>
      <c r="R20" s="75"/>
      <c r="S20" s="102"/>
    </row>
    <row r="21" spans="1:19">
      <c r="A21" s="124" t="s">
        <v>803</v>
      </c>
      <c r="B21" s="125">
        <f>'RCV and ECV'!$B$18</f>
        <v>272999000</v>
      </c>
      <c r="C21" s="125">
        <f>'RCV and ECV'!$G$18</f>
        <v>279815395.94253045</v>
      </c>
      <c r="D21" s="125">
        <f>C21*(1-'Policy Allocations'!H32)</f>
        <v>139907697.97126523</v>
      </c>
      <c r="E21" s="125">
        <f>C21*(1-'Policy Allocations'!H28)</f>
        <v>69953848.985632613</v>
      </c>
      <c r="F21" s="125">
        <f>C21*(1-'Policy Allocations'!H21)</f>
        <v>69953848.985632613</v>
      </c>
      <c r="G21" s="145"/>
      <c r="H21" s="75"/>
      <c r="I21" s="75"/>
      <c r="J21" s="102"/>
      <c r="K21" s="75">
        <f>$K$17*D21/$D$17</f>
        <v>1726.8886708863272</v>
      </c>
      <c r="L21" s="75">
        <f>E21*$R$7*1000</f>
        <v>1230.0466922803394</v>
      </c>
      <c r="M21" s="75">
        <f>$M$17*($F21/$F$17)</f>
        <v>12226.068339148487</v>
      </c>
      <c r="N21" s="75">
        <f>$N$17*F21/$F$17</f>
        <v>8568.930199667031</v>
      </c>
      <c r="O21" s="75">
        <f>$O$17*F21/$F$17</f>
        <v>1183.561600251473</v>
      </c>
      <c r="P21" s="75">
        <f>$P$8*SUM(M21:O21)/$P$62</f>
        <v>3542.7150464777237</v>
      </c>
      <c r="Q21" s="281">
        <f t="shared" si="2"/>
        <v>28478.21054871138</v>
      </c>
      <c r="R21" s="75"/>
      <c r="S21" s="102"/>
    </row>
    <row r="22" spans="1:19">
      <c r="A22" s="122"/>
      <c r="B22" s="123"/>
      <c r="C22" s="123"/>
      <c r="D22" s="123"/>
      <c r="E22" s="123"/>
      <c r="F22" s="123"/>
      <c r="G22" s="145"/>
      <c r="H22" s="75"/>
      <c r="I22" s="75"/>
      <c r="J22" s="102"/>
      <c r="K22" s="75"/>
      <c r="L22" s="75"/>
      <c r="M22" s="75"/>
      <c r="N22" s="75"/>
      <c r="O22" s="75"/>
      <c r="P22" s="75"/>
      <c r="Q22" s="281"/>
      <c r="R22" s="75"/>
      <c r="S22" s="102"/>
    </row>
    <row r="23" spans="1:19">
      <c r="A23" s="122" t="s">
        <v>805</v>
      </c>
      <c r="B23" s="123">
        <f>'RCV and ECV'!$B$20</f>
        <v>6660033350</v>
      </c>
      <c r="C23" s="123">
        <f>'RCV and ECV'!$G$20</f>
        <v>6850261681</v>
      </c>
      <c r="D23" s="123">
        <f>D26+D27</f>
        <v>6493799145.1707067</v>
      </c>
      <c r="E23" s="123">
        <f>E26+E27</f>
        <v>6315567877.2560606</v>
      </c>
      <c r="F23" s="123">
        <f>F26+F27</f>
        <v>6315567877.2560606</v>
      </c>
      <c r="G23" s="147">
        <f>'Total Trips Model'!$K$10-(J23)</f>
        <v>9969</v>
      </c>
      <c r="H23" s="65">
        <f>'Total Trips Model'!H13-(J23)</f>
        <v>2829</v>
      </c>
      <c r="I23" s="65">
        <f>'Total Trips Model'!$H$10</f>
        <v>7497</v>
      </c>
      <c r="J23" s="105">
        <f>'Total Trips Model'!H10</f>
        <v>7497</v>
      </c>
      <c r="K23" s="65">
        <f>paratransit*'Policy Allocations'!H38</f>
        <v>87239.701456071809</v>
      </c>
      <c r="L23" s="65">
        <f>SUM(L26:L27)</f>
        <v>111050.97846562084</v>
      </c>
      <c r="M23" s="65">
        <f>(G23*$S$6)*(1-Cbd)</f>
        <v>1712482.3049089047</v>
      </c>
      <c r="N23" s="65">
        <f>(H23*$S$5)*(1-Cbd)</f>
        <v>485967.7440653317</v>
      </c>
      <c r="O23" s="65">
        <f>'Bus-Sum'!E10</f>
        <v>383852.88501804153</v>
      </c>
      <c r="P23" s="65">
        <f>$P$8*SUM(M23:O23)/$P$62</f>
        <v>416240.34517878888</v>
      </c>
      <c r="Q23" s="283">
        <f t="shared" si="2"/>
        <v>3196833.9590927595</v>
      </c>
      <c r="R23" s="75"/>
      <c r="S23" s="102"/>
    </row>
    <row r="24" spans="1:19" outlineLevel="1">
      <c r="A24" s="124" t="s">
        <v>801</v>
      </c>
      <c r="B24" s="125">
        <f>'RCV and ECV'!$B$21</f>
        <v>1060933800</v>
      </c>
      <c r="C24" s="125">
        <f>'RCV and ECV'!$G$21</f>
        <v>1091236901.4214797</v>
      </c>
      <c r="D24" s="125">
        <f>'RCV and ECV'!$G$21</f>
        <v>1091236901.4214797</v>
      </c>
      <c r="E24" s="125">
        <f>C24</f>
        <v>1091236901.4214797</v>
      </c>
      <c r="F24" s="125">
        <f>'RCV and ECV'!$G$21</f>
        <v>1091236901.4214797</v>
      </c>
      <c r="G24" s="145"/>
      <c r="H24" s="75"/>
      <c r="I24" s="75"/>
      <c r="J24" s="102"/>
      <c r="K24" s="75">
        <f>$K$23*D24/$D$23</f>
        <v>14660.01324796999</v>
      </c>
      <c r="L24" s="75">
        <f>E24*$R$5*1000</f>
        <v>19187.969790817639</v>
      </c>
      <c r="M24" s="75">
        <f>$M$23*($F24/$F$23)</f>
        <v>295891.66334157356</v>
      </c>
      <c r="N24" s="75">
        <f>$N$23*F24/$F$23</f>
        <v>83968.052522149839</v>
      </c>
      <c r="O24" s="75">
        <f>$O$23*F24/$F$23</f>
        <v>66324.112255566884</v>
      </c>
      <c r="P24" s="75">
        <f>$P$8*SUM(M24:O24)/$P$62</f>
        <v>71920.187281219347</v>
      </c>
      <c r="Q24" s="281">
        <f t="shared" si="2"/>
        <v>551951.99843929731</v>
      </c>
      <c r="R24" s="75"/>
      <c r="S24" s="102"/>
    </row>
    <row r="25" spans="1:19" outlineLevel="1">
      <c r="A25" s="124" t="s">
        <v>802</v>
      </c>
      <c r="B25" s="125">
        <f>'RCV and ECV'!$B$22</f>
        <v>4905972050</v>
      </c>
      <c r="C25" s="125">
        <f>'RCV and ECV'!$G$22</f>
        <v>5046099707.9199333</v>
      </c>
      <c r="D25" s="125">
        <f>'RCV and ECV'!$G$22</f>
        <v>5046099707.9199333</v>
      </c>
      <c r="E25" s="125">
        <f>C25</f>
        <v>5046099707.9199333</v>
      </c>
      <c r="F25" s="125">
        <f>'RCV and ECV'!$G$22</f>
        <v>5046099707.9199333</v>
      </c>
      <c r="G25" s="145"/>
      <c r="H25" s="75"/>
      <c r="I25" s="75"/>
      <c r="J25" s="102"/>
      <c r="K25" s="75">
        <f>$K$23*D25/$D$23</f>
        <v>67790.860510967308</v>
      </c>
      <c r="L25" s="75">
        <f>E25*$R$6*1000</f>
        <v>88729.04557286769</v>
      </c>
      <c r="M25" s="75">
        <f>$M$23*($F25/$F$23)</f>
        <v>1368262.7796209054</v>
      </c>
      <c r="N25" s="75">
        <f>$N$23*F25/$F$23</f>
        <v>388285.22455086181</v>
      </c>
      <c r="O25" s="75">
        <f>$O$23*F25/$F$23</f>
        <v>306696.08317396767</v>
      </c>
      <c r="P25" s="75">
        <f>$P$8*SUM(M25:O25)/$P$62</f>
        <v>332573.46370944881</v>
      </c>
      <c r="Q25" s="281">
        <f t="shared" si="2"/>
        <v>2552337.4571390189</v>
      </c>
      <c r="R25" s="75"/>
      <c r="S25" s="102"/>
    </row>
    <row r="26" spans="1:19">
      <c r="A26" s="124" t="s">
        <v>808</v>
      </c>
      <c r="B26" s="125">
        <f>B25+B24</f>
        <v>5966905850</v>
      </c>
      <c r="C26" s="125">
        <f>C25+C24</f>
        <v>6137336609.3414135</v>
      </c>
      <c r="D26" s="125">
        <f>D25+D24</f>
        <v>6137336609.3414135</v>
      </c>
      <c r="E26" s="125">
        <f>E25+E24</f>
        <v>6137336609.3414135</v>
      </c>
      <c r="F26" s="125">
        <f>F25+F24</f>
        <v>6137336609.3414135</v>
      </c>
      <c r="G26" s="145"/>
      <c r="H26" s="75"/>
      <c r="I26" s="75"/>
      <c r="J26" s="102"/>
      <c r="K26" s="125">
        <f>K25+K24</f>
        <v>82450.87375893729</v>
      </c>
      <c r="L26" s="125">
        <f t="shared" ref="L26:Q26" si="5">L25+L24</f>
        <v>107917.01536368532</v>
      </c>
      <c r="M26" s="125">
        <f t="shared" si="5"/>
        <v>1664154.4429624788</v>
      </c>
      <c r="N26" s="125">
        <f t="shared" si="5"/>
        <v>472253.27707301162</v>
      </c>
      <c r="O26" s="125">
        <f t="shared" si="5"/>
        <v>373020.19542953453</v>
      </c>
      <c r="P26" s="125">
        <f t="shared" si="5"/>
        <v>404493.65099066816</v>
      </c>
      <c r="Q26" s="281">
        <f t="shared" si="5"/>
        <v>3104289.455578316</v>
      </c>
      <c r="R26" s="75"/>
      <c r="S26" s="102"/>
    </row>
    <row r="27" spans="1:19">
      <c r="A27" s="124" t="s">
        <v>803</v>
      </c>
      <c r="B27" s="125">
        <f>'RCV and ECV'!$B$23</f>
        <v>693127500</v>
      </c>
      <c r="C27" s="125">
        <f>'RCV and ECV'!$G$23</f>
        <v>712925071.65858662</v>
      </c>
      <c r="D27" s="125">
        <f>C27*(1-'Policy Allocations'!H32)</f>
        <v>356462535.82929331</v>
      </c>
      <c r="E27" s="125">
        <f>C27*(1-'Policy Allocations'!H28)</f>
        <v>178231267.91464666</v>
      </c>
      <c r="F27" s="125">
        <f>C27*(1-'Policy Allocations'!H21)</f>
        <v>178231267.91464666</v>
      </c>
      <c r="G27" s="145"/>
      <c r="H27" s="75"/>
      <c r="I27" s="75"/>
      <c r="J27" s="102"/>
      <c r="K27" s="75">
        <f>$K$23*D27/$D$23</f>
        <v>4788.827697134504</v>
      </c>
      <c r="L27" s="75">
        <f>E27*$R$7*1000</f>
        <v>3133.9631019355197</v>
      </c>
      <c r="M27" s="75">
        <f>$M$23*($F27/$F$23)</f>
        <v>48327.861946425532</v>
      </c>
      <c r="N27" s="75">
        <f>$N$23*F27/$F$23</f>
        <v>13714.466992319976</v>
      </c>
      <c r="O27" s="75">
        <f>$O$23*F27/$F$23</f>
        <v>10832.689588506943</v>
      </c>
      <c r="P27" s="75">
        <f>$P$8*SUM(M27:O27)/$P$62</f>
        <v>11746.694188120729</v>
      </c>
      <c r="Q27" s="281">
        <f t="shared" si="2"/>
        <v>92544.503514443204</v>
      </c>
      <c r="R27" s="75"/>
      <c r="S27" s="102"/>
    </row>
    <row r="28" spans="1:19">
      <c r="A28" s="124"/>
      <c r="B28" s="123"/>
      <c r="C28" s="123"/>
      <c r="D28" s="123"/>
      <c r="E28" s="123"/>
      <c r="F28" s="123"/>
      <c r="G28" s="145"/>
      <c r="H28" s="75"/>
      <c r="I28" s="75"/>
      <c r="J28" s="102"/>
      <c r="K28" s="75"/>
      <c r="L28" s="75"/>
      <c r="M28" s="75"/>
      <c r="N28" s="75"/>
      <c r="O28" s="75"/>
      <c r="P28" s="75"/>
      <c r="Q28" s="281"/>
      <c r="R28" s="75"/>
      <c r="S28" s="102"/>
    </row>
    <row r="29" spans="1:19">
      <c r="A29" s="122" t="s">
        <v>806</v>
      </c>
      <c r="B29" s="123">
        <f>'RCV and ECV'!$B$25</f>
        <v>7973186800</v>
      </c>
      <c r="C29" s="123">
        <f>'RCV and ECV'!$G$25</f>
        <v>8103339693</v>
      </c>
      <c r="D29" s="123">
        <f>D32+D33</f>
        <v>7837374278.3052673</v>
      </c>
      <c r="E29" s="123">
        <f>E32+E33</f>
        <v>7704391570.9579</v>
      </c>
      <c r="F29" s="123">
        <f>F32+F33</f>
        <v>7704391570.9579</v>
      </c>
      <c r="G29" s="147">
        <f>'Total Trips Model'!$K$9-(J29)</f>
        <v>11874</v>
      </c>
      <c r="H29" s="65">
        <f>'Total Trips Model'!G13-(J29)</f>
        <v>5127</v>
      </c>
      <c r="I29" s="65">
        <f>'Total Trips Model'!$G$9</f>
        <v>8658</v>
      </c>
      <c r="J29" s="105">
        <f>'Total Trips Model'!G9</f>
        <v>8658</v>
      </c>
      <c r="K29" s="65">
        <f>paratransit*'Policy Allocations'!H39</f>
        <v>112291.88482051982</v>
      </c>
      <c r="L29" s="65">
        <f>SUM(L32:L33)</f>
        <v>135471.621723569</v>
      </c>
      <c r="M29" s="65">
        <f>(G29*$S$6)*(1-Cbd)</f>
        <v>2039724.6352180091</v>
      </c>
      <c r="N29" s="65">
        <f>(H29*$S$5)*(1-Cbd)</f>
        <v>880719.90944607835</v>
      </c>
      <c r="O29" s="65">
        <f>'Bus-Sum'!E11</f>
        <v>153162.97382493282</v>
      </c>
      <c r="P29" s="65">
        <f>$P$8*SUM(M29:O29)/$P$62</f>
        <v>495433.52857601503</v>
      </c>
      <c r="Q29" s="283">
        <f t="shared" si="2"/>
        <v>3816804.5536091239</v>
      </c>
      <c r="R29" s="75"/>
      <c r="S29" s="102"/>
    </row>
    <row r="30" spans="1:19" outlineLevel="1">
      <c r="A30" s="124" t="s">
        <v>801</v>
      </c>
      <c r="B30" s="125">
        <f>'RCV and ECV'!$B$26</f>
        <v>958319600</v>
      </c>
      <c r="C30" s="125">
        <f>'RCV and ECV'!$G$26</f>
        <v>973963039.88009942</v>
      </c>
      <c r="D30" s="125">
        <f>'RCV and ECV'!$G$26</f>
        <v>973963039.88009942</v>
      </c>
      <c r="E30" s="125">
        <f>C30</f>
        <v>973963039.88009942</v>
      </c>
      <c r="F30" s="125">
        <f>'RCV and ECV'!$G$26</f>
        <v>973963039.88009942</v>
      </c>
      <c r="G30" s="145"/>
      <c r="H30" s="75"/>
      <c r="I30" s="75"/>
      <c r="J30" s="102"/>
      <c r="K30" s="75">
        <f>$K$29*D30/$D$29</f>
        <v>13954.692172403044</v>
      </c>
      <c r="L30" s="75">
        <f>E30*$R$5*1000</f>
        <v>17125.862736357431</v>
      </c>
      <c r="M30" s="75">
        <f>$M$29*($F30/$F$29)</f>
        <v>257855.06719620948</v>
      </c>
      <c r="N30" s="75">
        <f>$N$29*F30/$F$29</f>
        <v>111337.62249578627</v>
      </c>
      <c r="O30" s="75">
        <f>$O$29*F30/$F$29</f>
        <v>19362.343438764299</v>
      </c>
      <c r="P30" s="75">
        <f>$P$8*SUM(M30:O30)/$P$62</f>
        <v>62631.025578886227</v>
      </c>
      <c r="Q30" s="281">
        <f t="shared" si="2"/>
        <v>482266.6136184067</v>
      </c>
      <c r="R30" s="75"/>
      <c r="S30" s="102"/>
    </row>
    <row r="31" spans="1:19" outlineLevel="1">
      <c r="A31" s="124" t="s">
        <v>802</v>
      </c>
      <c r="B31" s="125">
        <f>'RCV and ECV'!$B$27</f>
        <v>6491480050</v>
      </c>
      <c r="C31" s="125">
        <f>'RCV and ECV'!$G$27</f>
        <v>6597445823.7304344</v>
      </c>
      <c r="D31" s="125">
        <f>'RCV and ECV'!$G$27</f>
        <v>6597445823.7304344</v>
      </c>
      <c r="E31" s="125">
        <f>C31</f>
        <v>6597445823.7304344</v>
      </c>
      <c r="F31" s="125">
        <f>'RCV and ECV'!$G$27</f>
        <v>6597445823.7304344</v>
      </c>
      <c r="G31" s="145"/>
      <c r="H31" s="75"/>
      <c r="I31" s="75"/>
      <c r="J31" s="102"/>
      <c r="K31" s="75">
        <f>$K$29*D31/$D$29</f>
        <v>94526.508527056663</v>
      </c>
      <c r="L31" s="75">
        <f>E31*$R$6*1000</f>
        <v>116007.43248087869</v>
      </c>
      <c r="M31" s="75">
        <f>$M$29*($F31/$F$29)</f>
        <v>1746662.6212128012</v>
      </c>
      <c r="N31" s="75">
        <f>$N$29*F31/$F$29</f>
        <v>754180.50016490091</v>
      </c>
      <c r="O31" s="75">
        <f>$O$29*F31/$F$29</f>
        <v>131156.93987056808</v>
      </c>
      <c r="P31" s="75">
        <f>$P$8*SUM(M31:O31)/$P$62</f>
        <v>424251.00462974946</v>
      </c>
      <c r="Q31" s="281">
        <f t="shared" si="2"/>
        <v>3266785.0068859546</v>
      </c>
      <c r="R31" s="75"/>
      <c r="S31" s="102"/>
    </row>
    <row r="32" spans="1:19">
      <c r="A32" s="124" t="s">
        <v>808</v>
      </c>
      <c r="B32" s="125">
        <f>B31+B30</f>
        <v>7449799650</v>
      </c>
      <c r="C32" s="125">
        <f>C31+C30</f>
        <v>7571408863.6105337</v>
      </c>
      <c r="D32" s="125">
        <f>D31+D30</f>
        <v>7571408863.6105337</v>
      </c>
      <c r="E32" s="125">
        <f>E31+E30</f>
        <v>7571408863.6105337</v>
      </c>
      <c r="F32" s="125">
        <f>F31+F30</f>
        <v>7571408863.6105337</v>
      </c>
      <c r="G32" s="145"/>
      <c r="H32" s="75"/>
      <c r="I32" s="75"/>
      <c r="J32" s="102"/>
      <c r="K32" s="125">
        <f t="shared" ref="K32:Q32" si="6">K31+K30</f>
        <v>108481.2006994597</v>
      </c>
      <c r="L32" s="125">
        <f t="shared" si="6"/>
        <v>133133.29521723613</v>
      </c>
      <c r="M32" s="125">
        <f t="shared" si="6"/>
        <v>2004517.6884090106</v>
      </c>
      <c r="N32" s="125">
        <f t="shared" si="6"/>
        <v>865518.12266068719</v>
      </c>
      <c r="O32" s="125">
        <f t="shared" si="6"/>
        <v>150519.28330933239</v>
      </c>
      <c r="P32" s="125">
        <f t="shared" si="6"/>
        <v>486882.03020863567</v>
      </c>
      <c r="Q32" s="281">
        <f t="shared" si="6"/>
        <v>3749051.6205043616</v>
      </c>
      <c r="R32" s="75"/>
      <c r="S32" s="102"/>
    </row>
    <row r="33" spans="1:19">
      <c r="A33" s="124" t="s">
        <v>803</v>
      </c>
      <c r="B33" s="125">
        <f>'RCV and ECV'!$B$28</f>
        <v>523387150</v>
      </c>
      <c r="C33" s="125">
        <f>'RCV and ECV'!$G$28</f>
        <v>531930829.38946629</v>
      </c>
      <c r="D33" s="125">
        <f>C33*(1-'Policy Allocations'!H32)</f>
        <v>265965414.69473314</v>
      </c>
      <c r="E33" s="125">
        <f>C33*(1-'Policy Allocations'!H28)</f>
        <v>132982707.34736657</v>
      </c>
      <c r="F33" s="125">
        <f>C33*(1-'Policy Allocations'!H21)</f>
        <v>132982707.34736657</v>
      </c>
      <c r="G33" s="145"/>
      <c r="H33" s="75"/>
      <c r="I33" s="75"/>
      <c r="J33" s="102"/>
      <c r="K33" s="75">
        <f>$K$29*D33/$D$29</f>
        <v>3810.6841210601024</v>
      </c>
      <c r="L33" s="75">
        <f>E33*$R$7*1000</f>
        <v>2338.3265063328863</v>
      </c>
      <c r="M33" s="75">
        <f>$M$29*($F33/$F$29)</f>
        <v>35206.946808998415</v>
      </c>
      <c r="N33" s="75">
        <f>$N$29*F33/$F$29</f>
        <v>15201.786785391185</v>
      </c>
      <c r="O33" s="75">
        <f>$O$29*F33/$F$29</f>
        <v>2643.6905156004441</v>
      </c>
      <c r="P33" s="75">
        <f>$P$8*SUM(M33:O33)/$P$62</f>
        <v>8551.4983673793085</v>
      </c>
      <c r="Q33" s="281">
        <f t="shared" si="2"/>
        <v>67752.933104762342</v>
      </c>
      <c r="R33" s="75"/>
      <c r="S33" s="102"/>
    </row>
    <row r="34" spans="1:19">
      <c r="A34" s="122"/>
      <c r="B34" s="123"/>
      <c r="C34" s="123"/>
      <c r="D34" s="123"/>
      <c r="E34" s="123"/>
      <c r="F34" s="123"/>
      <c r="G34" s="145"/>
      <c r="H34" s="75"/>
      <c r="I34" s="75"/>
      <c r="J34" s="102"/>
      <c r="K34" s="75"/>
      <c r="L34" s="75"/>
      <c r="M34" s="75"/>
      <c r="N34" s="75"/>
      <c r="O34" s="75"/>
      <c r="P34" s="75"/>
      <c r="Q34" s="281"/>
      <c r="R34" s="75"/>
      <c r="S34" s="102"/>
    </row>
    <row r="35" spans="1:19">
      <c r="A35" s="122" t="s">
        <v>807</v>
      </c>
      <c r="B35" s="123">
        <f>'RCV and ECV'!$B$30</f>
        <v>10660861700</v>
      </c>
      <c r="C35" s="123">
        <f>'RCV and ECV'!$G$30</f>
        <v>10737703029</v>
      </c>
      <c r="D35" s="123">
        <f>SUM(D38:D39)</f>
        <v>9922357212.709053</v>
      </c>
      <c r="E35" s="123">
        <f>SUM(E38:E39)</f>
        <v>7136013228.4226856</v>
      </c>
      <c r="F35" s="123">
        <f>SUM(F38:F39)</f>
        <v>9514684304.5635796</v>
      </c>
      <c r="G35" s="147">
        <f>'Total Trips Model'!$K$8-(J35)</f>
        <v>6804</v>
      </c>
      <c r="H35" s="65">
        <f>'Total Trips Model'!F13-(J35)</f>
        <v>756</v>
      </c>
      <c r="I35" s="65">
        <f>'Total Trips Model'!$F$8</f>
        <v>11388</v>
      </c>
      <c r="J35" s="105">
        <f>'Total Trips Model'!F8</f>
        <v>11388</v>
      </c>
      <c r="K35" s="65">
        <f>paratransit*'Policy Allocations'!H40</f>
        <v>106618.34043403146</v>
      </c>
      <c r="L35" s="65">
        <f>SUM(L38:L39)</f>
        <v>125477.4339792633</v>
      </c>
      <c r="M35" s="65">
        <f>(G35*$S$6)*(1-Cbd)</f>
        <v>1168796.2285685814</v>
      </c>
      <c r="N35" s="65">
        <f>(H35*$S$5)*(1-Cbd)</f>
        <v>129866.24761873127</v>
      </c>
      <c r="O35" s="65">
        <f>'Bus-Sum'!E12</f>
        <v>39708.919139797399</v>
      </c>
      <c r="P35" s="65">
        <f>$P$8*SUM(M35:O35)/$P$62</f>
        <v>215731.53336704514</v>
      </c>
      <c r="Q35" s="283">
        <f t="shared" si="2"/>
        <v>1786198.7031074499</v>
      </c>
      <c r="R35" s="75"/>
      <c r="S35" s="102"/>
    </row>
    <row r="36" spans="1:19" outlineLevel="1">
      <c r="A36" s="124" t="s">
        <v>281</v>
      </c>
      <c r="B36" s="125">
        <f>'RCV and ECV'!$B$31</f>
        <v>1261552800</v>
      </c>
      <c r="C36" s="125">
        <f>'RCV and ECV'!$G$31</f>
        <v>1270645816.7263751</v>
      </c>
      <c r="D36" s="125">
        <f>'RCV and ECV'!$G$31</f>
        <v>1270645816.7263751</v>
      </c>
      <c r="E36" s="125">
        <f>C36*(1-'Policy Allocations'!H26)</f>
        <v>952984362.54478133</v>
      </c>
      <c r="F36" s="125">
        <f>'RCV and ECV'!$G$31</f>
        <v>1270645816.7263751</v>
      </c>
      <c r="G36" s="147"/>
      <c r="H36" s="65"/>
      <c r="I36" s="65"/>
      <c r="J36" s="105"/>
      <c r="K36" s="75">
        <f>$K$35*D36/$D$35</f>
        <v>13653.423813979254</v>
      </c>
      <c r="L36" s="75">
        <f>E36*$R$5*1000</f>
        <v>16756.980208249159</v>
      </c>
      <c r="M36" s="75">
        <f>$M$35*($F36/$F$35)</f>
        <v>156087.78924214153</v>
      </c>
      <c r="N36" s="75">
        <f>$N$35*F36/$F$35</f>
        <v>17343.087693571284</v>
      </c>
      <c r="O36" s="75">
        <f>$O$35*F36/$F$35</f>
        <v>5302.9580779163616</v>
      </c>
      <c r="P36" s="75">
        <f>$P$8*SUM(M36:O36)/$P$62</f>
        <v>28810.033169185172</v>
      </c>
      <c r="Q36" s="281">
        <f t="shared" si="2"/>
        <v>237954.27220504274</v>
      </c>
      <c r="R36" s="75"/>
      <c r="S36" s="102"/>
    </row>
    <row r="37" spans="1:19" outlineLevel="1">
      <c r="A37" s="124" t="s">
        <v>809</v>
      </c>
      <c r="B37" s="125">
        <f>'RCV and ECV'!$B$32</f>
        <v>7780286850</v>
      </c>
      <c r="C37" s="125">
        <f>'RCV and ECV'!$G$32</f>
        <v>7836365579.6917315</v>
      </c>
      <c r="D37" s="125">
        <f>'RCV and ECV'!$G$32</f>
        <v>7836365579.6917315</v>
      </c>
      <c r="E37" s="125">
        <f>C37*(1-'Policy Allocations'!H26)</f>
        <v>5877274184.7687988</v>
      </c>
      <c r="F37" s="125">
        <f>'RCV and ECV'!$G$32</f>
        <v>7836365579.6917315</v>
      </c>
      <c r="G37" s="145"/>
      <c r="H37" s="75"/>
      <c r="I37" s="75"/>
      <c r="J37" s="102"/>
      <c r="K37" s="75">
        <f>$K$35*D37/$D$35</f>
        <v>84203.811174117829</v>
      </c>
      <c r="L37" s="75">
        <f>E37*$R$6*1000</f>
        <v>103344.15869074302</v>
      </c>
      <c r="M37" s="75">
        <f>$M$35*($F37/$F$35)</f>
        <v>962629.36762235034</v>
      </c>
      <c r="N37" s="75">
        <f>$N$35*F37/$F$35</f>
        <v>106958.8186247056</v>
      </c>
      <c r="O37" s="75">
        <f>$O$35*F37/$F$35</f>
        <v>32704.564564966247</v>
      </c>
      <c r="P37" s="75">
        <f>$P$8*SUM(M37:O37)/$P$62</f>
        <v>177678.11399909321</v>
      </c>
      <c r="Q37" s="281">
        <f t="shared" si="2"/>
        <v>1467518.8346759763</v>
      </c>
      <c r="R37" s="75"/>
      <c r="S37" s="102"/>
    </row>
    <row r="38" spans="1:19">
      <c r="A38" s="124" t="s">
        <v>808</v>
      </c>
      <c r="B38" s="125">
        <f>B37+B36</f>
        <v>9041839650</v>
      </c>
      <c r="C38" s="125">
        <f>C37+C36</f>
        <v>9107011396.4181061</v>
      </c>
      <c r="D38" s="125">
        <f>D37+D36</f>
        <v>9107011396.4181061</v>
      </c>
      <c r="E38" s="125">
        <f>E37+E36</f>
        <v>6830258547.3135805</v>
      </c>
      <c r="F38" s="125">
        <f>F37+F36</f>
        <v>9107011396.4181061</v>
      </c>
      <c r="G38" s="145"/>
      <c r="H38" s="75"/>
      <c r="I38" s="75"/>
      <c r="J38" s="102"/>
      <c r="K38" s="125">
        <f t="shared" ref="K38:Q38" si="7">K37+K36</f>
        <v>97857.234988097087</v>
      </c>
      <c r="L38" s="125">
        <f t="shared" si="7"/>
        <v>120101.13889899218</v>
      </c>
      <c r="M38" s="125">
        <f t="shared" si="7"/>
        <v>1118717.1568644918</v>
      </c>
      <c r="N38" s="125">
        <f t="shared" si="7"/>
        <v>124301.90631827689</v>
      </c>
      <c r="O38" s="125">
        <f t="shared" si="7"/>
        <v>38007.522642882606</v>
      </c>
      <c r="P38" s="125">
        <f t="shared" si="7"/>
        <v>206488.14716827837</v>
      </c>
      <c r="Q38" s="281">
        <f t="shared" si="7"/>
        <v>1705473.106881019</v>
      </c>
      <c r="R38" s="75"/>
      <c r="S38" s="102"/>
    </row>
    <row r="39" spans="1:19">
      <c r="A39" s="124" t="s">
        <v>803</v>
      </c>
      <c r="B39" s="125">
        <f>'RCV and ECV'!$B$33</f>
        <v>1619022050</v>
      </c>
      <c r="C39" s="125">
        <f>'RCV and ECV'!$G$33</f>
        <v>1630691632.5818944</v>
      </c>
      <c r="D39" s="125">
        <f>C39*(1-'Policy Allocations'!H32)</f>
        <v>815345816.2909472</v>
      </c>
      <c r="E39" s="125">
        <f>C39*(1-'Policy Allocations'!H28)*(1-'Policy Allocations'!H26)</f>
        <v>305754681.10910523</v>
      </c>
      <c r="F39" s="125">
        <f>C39*(1-'Policy Allocations'!H21)</f>
        <v>407672908.1454736</v>
      </c>
      <c r="G39" s="145"/>
      <c r="H39" s="75"/>
      <c r="I39" s="75"/>
      <c r="J39" s="102"/>
      <c r="K39" s="75">
        <f>$K$35*D39/$D$35</f>
        <v>8761.1054459343723</v>
      </c>
      <c r="L39" s="75">
        <f>E39*$R$7*1000</f>
        <v>5376.2950802711102</v>
      </c>
      <c r="M39" s="75">
        <f>$M$35*($F39/$F$35)</f>
        <v>50079.071704089591</v>
      </c>
      <c r="N39" s="75">
        <f>$N$35*F39/$F$35</f>
        <v>5564.3413004543982</v>
      </c>
      <c r="O39" s="75">
        <f>$O$35*F39/$F$35</f>
        <v>1701.3964969147958</v>
      </c>
      <c r="P39" s="75">
        <f>$P$8*SUM(M39:O39)/$P$62</f>
        <v>9243.386198766746</v>
      </c>
      <c r="Q39" s="281">
        <f t="shared" si="2"/>
        <v>80725.596226431007</v>
      </c>
      <c r="R39" s="75"/>
      <c r="S39" s="102"/>
    </row>
    <row r="40" spans="1:19">
      <c r="A40" s="124"/>
      <c r="B40" s="123"/>
      <c r="C40" s="123"/>
      <c r="D40" s="123"/>
      <c r="E40" s="123"/>
      <c r="F40" s="123"/>
      <c r="G40" s="145"/>
      <c r="H40" s="75"/>
      <c r="I40" s="75"/>
      <c r="J40" s="102"/>
      <c r="K40" s="75"/>
      <c r="L40" s="75"/>
      <c r="M40" s="75"/>
      <c r="N40" s="75"/>
      <c r="O40" s="75"/>
      <c r="P40" s="75"/>
      <c r="Q40" s="281"/>
      <c r="R40" s="75"/>
      <c r="S40" s="102"/>
    </row>
    <row r="41" spans="1:19">
      <c r="A41" s="122" t="s">
        <v>810</v>
      </c>
      <c r="B41" s="123">
        <f>'RCV and ECV'!$B$35</f>
        <v>4620819400</v>
      </c>
      <c r="C41" s="123">
        <f>'RCV and ECV'!$G$35</f>
        <v>4693960680</v>
      </c>
      <c r="D41" s="123">
        <f>D44+D45</f>
        <v>3515894151.1919856</v>
      </c>
      <c r="E41" s="123">
        <f>E44+E45</f>
        <v>878058266.03639352</v>
      </c>
      <c r="F41" s="123">
        <f>F44+F45</f>
        <v>2926860886.7879782</v>
      </c>
      <c r="G41" s="147">
        <f>'Total Trips Model'!$K$4-(J41)</f>
        <v>474</v>
      </c>
      <c r="H41" s="65">
        <f>'Total Trips Model'!B13-'Rates Allocation'!I41</f>
        <v>162</v>
      </c>
      <c r="I41" s="65">
        <f>'Total Trips Model'!$B7</f>
        <v>9378</v>
      </c>
      <c r="J41" s="105">
        <f>+'Total Trips Model'!E4</f>
        <v>9036</v>
      </c>
      <c r="K41" s="65">
        <f>paratransit*'Policy Allocations'!H41</f>
        <v>50703.638925861487</v>
      </c>
      <c r="L41" s="65">
        <f>SUM(L44:L45)</f>
        <v>15439.503064217402</v>
      </c>
      <c r="M41" s="65">
        <f>(G41*$S$6)*(1-Cbd)</f>
        <v>81424.075887934683</v>
      </c>
      <c r="N41" s="65">
        <f>(H41*$S$5)*(1-Cbd)</f>
        <v>27828.48163258527</v>
      </c>
      <c r="O41" s="65">
        <f>'Bus-Sum'!E13</f>
        <v>0</v>
      </c>
      <c r="P41" s="65">
        <f>$P$8*SUM(M41:O41)/$P$62</f>
        <v>17610.374699029289</v>
      </c>
      <c r="Q41" s="283">
        <f t="shared" si="2"/>
        <v>193006.0742096281</v>
      </c>
      <c r="R41" s="75"/>
      <c r="S41" s="102"/>
    </row>
    <row r="42" spans="1:19" outlineLevel="1">
      <c r="A42" s="124" t="s">
        <v>811</v>
      </c>
      <c r="B42" s="125">
        <f>'RCV and ECV'!$B$36</f>
        <v>522728600</v>
      </c>
      <c r="C42" s="125">
        <f>'RCV and ECV'!$G$36</f>
        <v>531002682.05925727</v>
      </c>
      <c r="D42" s="125">
        <f>'RCV and ECV'!$G$36</f>
        <v>531002682.05925727</v>
      </c>
      <c r="E42" s="125">
        <f>C42*(1-'Policy Allocations'!H27)</f>
        <v>159300804.6177772</v>
      </c>
      <c r="F42" s="125">
        <f>'RCV and ECV'!$G$36</f>
        <v>531002682.05925727</v>
      </c>
      <c r="G42" s="145"/>
      <c r="H42" s="75"/>
      <c r="I42" s="75"/>
      <c r="J42" s="102"/>
      <c r="K42" s="75">
        <f>$K$41*D42/($D$42+$D$43+$D$45)</f>
        <v>7657.7300402142955</v>
      </c>
      <c r="L42" s="75">
        <f>E42*$R$5*1000</f>
        <v>2801.0957315291957</v>
      </c>
      <c r="M42" s="75">
        <f>$M$41*($F42/$F$41)</f>
        <v>14772.277997858209</v>
      </c>
      <c r="N42" s="75">
        <f>$N$41*F42/$F$41</f>
        <v>5048.7532397743244</v>
      </c>
      <c r="O42" s="75">
        <f>$O$41*F42/$F$41</f>
        <v>0</v>
      </c>
      <c r="P42" s="75">
        <f>$P$8*SUM(M42:O42)/$P$62</f>
        <v>3194.9438524614229</v>
      </c>
      <c r="Q42" s="281">
        <f t="shared" si="2"/>
        <v>33474.800861837444</v>
      </c>
      <c r="R42" s="75"/>
      <c r="S42" s="102"/>
    </row>
    <row r="43" spans="1:19" outlineLevel="1">
      <c r="A43" s="124" t="s">
        <v>809</v>
      </c>
      <c r="B43" s="125">
        <f>'RCV and ECV'!$B$37</f>
        <v>1778671000</v>
      </c>
      <c r="C43" s="125">
        <f>'RCV and ECV'!$G$37</f>
        <v>1806824940.3247137</v>
      </c>
      <c r="D43" s="125">
        <f>'RCV and ECV'!$G$37</f>
        <v>1806824940.3247137</v>
      </c>
      <c r="E43" s="125">
        <f>C43*(1-'Policy Allocations'!H27)</f>
        <v>542047482.09741414</v>
      </c>
      <c r="F43" s="125">
        <f>'RCV and ECV'!$G$37</f>
        <v>1806824940.3247137</v>
      </c>
      <c r="G43" s="145"/>
      <c r="H43" s="75"/>
      <c r="I43" s="65"/>
      <c r="J43" s="102"/>
      <c r="K43" s="75">
        <f>$K$41*D43/($D$42+$D$43+$D$45)</f>
        <v>26056.700070281211</v>
      </c>
      <c r="L43" s="75">
        <f>E43*$R$6*1000</f>
        <v>9531.1940955493264</v>
      </c>
      <c r="M43" s="75">
        <f>$M$41*($F43/$F$41)</f>
        <v>50265.132764360809</v>
      </c>
      <c r="N43" s="75">
        <f>$N$41*F43/$F$41</f>
        <v>17179.222590351164</v>
      </c>
      <c r="O43" s="75">
        <f>$O$41*F43/$F$41</f>
        <v>0</v>
      </c>
      <c r="P43" s="75">
        <f>$P$8*SUM(M43:O43)/$P$62</f>
        <v>10871.327830544207</v>
      </c>
      <c r="Q43" s="281">
        <f t="shared" si="2"/>
        <v>113903.57735108671</v>
      </c>
      <c r="R43" s="75"/>
      <c r="S43" s="102"/>
    </row>
    <row r="44" spans="1:19">
      <c r="A44" s="124" t="s">
        <v>808</v>
      </c>
      <c r="B44" s="125">
        <f>B43+B42</f>
        <v>2301399600</v>
      </c>
      <c r="C44" s="125">
        <f>C43+C42</f>
        <v>2337827622.3839712</v>
      </c>
      <c r="D44" s="125">
        <f>D43+D42</f>
        <v>2337827622.3839712</v>
      </c>
      <c r="E44" s="125">
        <f>E43+E42</f>
        <v>701348286.71519136</v>
      </c>
      <c r="F44" s="125">
        <f>F43+F42</f>
        <v>2337827622.3839712</v>
      </c>
      <c r="G44" s="145"/>
      <c r="H44" s="75"/>
      <c r="I44" s="75"/>
      <c r="J44" s="102"/>
      <c r="K44" s="125">
        <f t="shared" ref="K44:Q44" si="8">K43+K42</f>
        <v>33714.430110495508</v>
      </c>
      <c r="L44" s="125">
        <f t="shared" si="8"/>
        <v>12332.289827078523</v>
      </c>
      <c r="M44" s="125">
        <f t="shared" si="8"/>
        <v>65037.41076221902</v>
      </c>
      <c r="N44" s="125">
        <f t="shared" si="8"/>
        <v>22227.975830125488</v>
      </c>
      <c r="O44" s="125">
        <f t="shared" si="8"/>
        <v>0</v>
      </c>
      <c r="P44" s="125">
        <f t="shared" si="8"/>
        <v>14066.271683005631</v>
      </c>
      <c r="Q44" s="281">
        <f t="shared" si="8"/>
        <v>147378.37821292417</v>
      </c>
      <c r="R44" s="75"/>
      <c r="S44" s="102"/>
    </row>
    <row r="45" spans="1:19">
      <c r="A45" s="124" t="s">
        <v>812</v>
      </c>
      <c r="B45" s="125">
        <f>'RCV and ECV'!$B$38</f>
        <v>2319419800</v>
      </c>
      <c r="C45" s="125">
        <f>'RCV and ECV'!$G$38</f>
        <v>2356133057.6160288</v>
      </c>
      <c r="D45" s="125">
        <f>C45*(1-'Policy Allocations'!H32)</f>
        <v>1178066528.8080144</v>
      </c>
      <c r="E45" s="125">
        <f>C45*(1-'Policy Allocations'!H28)*(1-'Policy Allocations'!H27)</f>
        <v>176709979.32120219</v>
      </c>
      <c r="F45" s="125">
        <f>C45*(1-'Policy Allocations'!H21)</f>
        <v>589033264.4040072</v>
      </c>
      <c r="G45" s="145"/>
      <c r="H45" s="75"/>
      <c r="I45" s="65"/>
      <c r="J45" s="102"/>
      <c r="K45" s="75">
        <f>$K$41*D45/($D$42+$D$43+$D$45)</f>
        <v>16989.208815365979</v>
      </c>
      <c r="L45" s="75">
        <f>E45*$R$7*1000</f>
        <v>3107.2132371388807</v>
      </c>
      <c r="M45" s="75">
        <f>$M$41*($F45/$F$41)</f>
        <v>16386.665125715663</v>
      </c>
      <c r="N45" s="75">
        <f>$N$41*F45/$F$41</f>
        <v>5600.5058024597829</v>
      </c>
      <c r="O45" s="75">
        <f>$O$41*F45/$F$41</f>
        <v>0</v>
      </c>
      <c r="P45" s="75">
        <f>$P$8*SUM(M45:O45)/$P$62</f>
        <v>3544.1030160236605</v>
      </c>
      <c r="Q45" s="281">
        <f t="shared" si="2"/>
        <v>45627.695996703966</v>
      </c>
      <c r="R45" s="75"/>
      <c r="S45" s="102"/>
    </row>
    <row r="46" spans="1:19">
      <c r="A46" s="124"/>
      <c r="B46" s="123"/>
      <c r="C46" s="123"/>
      <c r="D46" s="123"/>
      <c r="E46" s="123"/>
      <c r="F46" s="123"/>
      <c r="G46" s="145"/>
      <c r="H46" s="75"/>
      <c r="I46" s="65"/>
      <c r="J46" s="102"/>
      <c r="K46" s="75"/>
      <c r="L46" s="75"/>
      <c r="M46" s="75"/>
      <c r="N46" s="75"/>
      <c r="O46" s="75"/>
      <c r="P46" s="75"/>
      <c r="Q46" s="281"/>
      <c r="R46" s="75"/>
      <c r="S46" s="102"/>
    </row>
    <row r="47" spans="1:19">
      <c r="A47" s="122" t="s">
        <v>813</v>
      </c>
      <c r="B47" s="123">
        <f>'RCV and ECV'!$B$40</f>
        <v>2113042300</v>
      </c>
      <c r="C47" s="123">
        <f>'RCV and ECV'!$G$40</f>
        <v>2172303463</v>
      </c>
      <c r="D47" s="123">
        <f>D50+D51</f>
        <v>1426494958.2403064</v>
      </c>
      <c r="E47" s="123">
        <f>E50+E51</f>
        <v>316077211.75813794</v>
      </c>
      <c r="F47" s="123">
        <f>F50+F51</f>
        <v>1053590705.8604598</v>
      </c>
      <c r="G47" s="147">
        <f>'Total Trips Model'!$K$5-(J47)</f>
        <v>495</v>
      </c>
      <c r="H47" s="65">
        <f>'Total Trips Model'!C13-(I47)</f>
        <v>42</v>
      </c>
      <c r="I47" s="65">
        <f>+'Total Trips Model'!C7</f>
        <v>2856</v>
      </c>
      <c r="J47" s="105">
        <f>+'Total Trips Model'!E5</f>
        <v>3150</v>
      </c>
      <c r="K47" s="65">
        <f>paratransit*'Policy Allocations'!H42</f>
        <v>17880.458485545965</v>
      </c>
      <c r="L47" s="65">
        <f>SUM(L50:L51)</f>
        <v>5557.8032440808383</v>
      </c>
      <c r="M47" s="65">
        <f>(G47*$S$6)*(1-Cbd)</f>
        <v>85031.47165512167</v>
      </c>
      <c r="N47" s="65">
        <f>(H47*$S$5)*(1-Cbd)</f>
        <v>7214.7915343739596</v>
      </c>
      <c r="O47" s="65">
        <f>'Bus-Sum'!E14</f>
        <v>0</v>
      </c>
      <c r="P47" s="65">
        <f>$P$8*SUM(M47:O47)/$P$62</f>
        <v>14869.13712795398</v>
      </c>
      <c r="Q47" s="283">
        <f t="shared" si="2"/>
        <v>130553.6620470764</v>
      </c>
      <c r="R47" s="75"/>
      <c r="S47" s="102"/>
    </row>
    <row r="48" spans="1:19" outlineLevel="1">
      <c r="A48" s="124" t="s">
        <v>811</v>
      </c>
      <c r="B48" s="125">
        <f>'RCV and ECV'!$B$41</f>
        <v>91671500</v>
      </c>
      <c r="C48" s="125">
        <f>'RCV and ECV'!$G$41</f>
        <v>94242465.90255411</v>
      </c>
      <c r="D48" s="125">
        <f>'RCV and ECV'!$G$41</f>
        <v>94242465.90255411</v>
      </c>
      <c r="E48" s="125">
        <f>C48*(1-'Policy Allocations'!H27)</f>
        <v>28272739.770766236</v>
      </c>
      <c r="F48" s="125">
        <f>'RCV and ECV'!$G$41</f>
        <v>94242465.90255411</v>
      </c>
      <c r="G48" s="145"/>
      <c r="H48" s="75"/>
      <c r="I48" s="65"/>
      <c r="J48" s="102"/>
      <c r="K48" s="75">
        <f>$K$47*D48/($D$48+$D$49+$D$51)</f>
        <v>1181.2859831098185</v>
      </c>
      <c r="L48" s="75">
        <f>E48*$R$5*1000</f>
        <v>497.1390501168334</v>
      </c>
      <c r="M48" s="75">
        <f>$M$47*($F48/$F$47)</f>
        <v>7605.9664569242486</v>
      </c>
      <c r="N48" s="75">
        <f>$N$47*F48/$F$47</f>
        <v>645.35472967842111</v>
      </c>
      <c r="O48" s="75">
        <f>$O$47*F48/$F$47</f>
        <v>0</v>
      </c>
      <c r="P48" s="75">
        <f>$P$8*SUM(M48:O48)/$P$62</f>
        <v>1330.0270598317106</v>
      </c>
      <c r="Q48" s="281">
        <f t="shared" si="2"/>
        <v>11259.773279661034</v>
      </c>
      <c r="R48" s="75"/>
      <c r="S48" s="102"/>
    </row>
    <row r="49" spans="1:19" outlineLevel="1">
      <c r="A49" s="124" t="s">
        <v>809</v>
      </c>
      <c r="B49" s="125">
        <f>'RCV and ECV'!$B$42</f>
        <v>570445600</v>
      </c>
      <c r="C49" s="125">
        <f>'RCV and ECV'!$G$42</f>
        <v>586443987.57805884</v>
      </c>
      <c r="D49" s="125">
        <f>'RCV and ECV'!$G$42</f>
        <v>586443987.57805884</v>
      </c>
      <c r="E49" s="125">
        <f>C49*(1-'Policy Allocations'!H27)</f>
        <v>175933196.27341768</v>
      </c>
      <c r="F49" s="125">
        <f>'RCV and ECV'!$G$42</f>
        <v>586443987.57805884</v>
      </c>
      <c r="G49" s="145"/>
      <c r="H49" s="75"/>
      <c r="I49" s="65"/>
      <c r="J49" s="102"/>
      <c r="K49" s="75">
        <f>$K$47*D49/($D$48+$D$49+$D$51)</f>
        <v>7350.8057728592894</v>
      </c>
      <c r="L49" s="75">
        <f>E49*$R$6*1000</f>
        <v>3093.5545259685632</v>
      </c>
      <c r="M49" s="75">
        <f>$M$47*($F49/$F$47)</f>
        <v>47329.760057379091</v>
      </c>
      <c r="N49" s="75">
        <f>$N$47*F49/$F$47</f>
        <v>4015.8584291109532</v>
      </c>
      <c r="O49" s="75">
        <f>$O$47*F49/$F$47</f>
        <v>0</v>
      </c>
      <c r="P49" s="75">
        <f>$P$8*SUM(M49:O49)/$P$62</f>
        <v>8276.379072688198</v>
      </c>
      <c r="Q49" s="281">
        <f t="shared" si="2"/>
        <v>70066.357858006086</v>
      </c>
      <c r="R49" s="75"/>
      <c r="S49" s="102"/>
    </row>
    <row r="50" spans="1:19">
      <c r="A50" s="124" t="s">
        <v>808</v>
      </c>
      <c r="B50" s="125">
        <f>B49+B48</f>
        <v>662117100</v>
      </c>
      <c r="C50" s="125">
        <f>C49+C48</f>
        <v>680686453.48061299</v>
      </c>
      <c r="D50" s="125">
        <f>D49+D48</f>
        <v>680686453.48061299</v>
      </c>
      <c r="E50" s="125">
        <f>E49+E48</f>
        <v>204205936.04418391</v>
      </c>
      <c r="F50" s="125">
        <f>F49+F48</f>
        <v>680686453.48061299</v>
      </c>
      <c r="G50" s="145"/>
      <c r="H50" s="75"/>
      <c r="I50" s="75"/>
      <c r="J50" s="102"/>
      <c r="K50" s="125">
        <f t="shared" ref="K50:Q50" si="9">K49+K48</f>
        <v>8532.0917559691079</v>
      </c>
      <c r="L50" s="125">
        <f t="shared" si="9"/>
        <v>3590.6935760853967</v>
      </c>
      <c r="M50" s="125">
        <f t="shared" si="9"/>
        <v>54935.726514303344</v>
      </c>
      <c r="N50" s="125">
        <f t="shared" si="9"/>
        <v>4661.2131587893746</v>
      </c>
      <c r="O50" s="125">
        <f t="shared" si="9"/>
        <v>0</v>
      </c>
      <c r="P50" s="125">
        <f t="shared" si="9"/>
        <v>9606.4061325199091</v>
      </c>
      <c r="Q50" s="281">
        <f t="shared" si="9"/>
        <v>81326.131137667122</v>
      </c>
      <c r="R50" s="75"/>
      <c r="S50" s="102"/>
    </row>
    <row r="51" spans="1:19">
      <c r="A51" s="124" t="s">
        <v>812</v>
      </c>
      <c r="B51" s="125">
        <f>'RCV and ECV'!$B$43</f>
        <v>1450925200</v>
      </c>
      <c r="C51" s="125">
        <f>'RCV and ECV'!$G$43</f>
        <v>1491617009.519387</v>
      </c>
      <c r="D51" s="125">
        <f>C51*(1-'Policy Allocations'!H32)</f>
        <v>745808504.7596935</v>
      </c>
      <c r="E51" s="125">
        <f>C51*(1-'Policy Allocations'!H28)*(1-'Policy Allocations'!H27)</f>
        <v>111871275.71395405</v>
      </c>
      <c r="F51" s="125">
        <f>C51*(1-'Policy Allocations'!H21)</f>
        <v>372904252.37984675</v>
      </c>
      <c r="G51" s="145"/>
      <c r="H51" s="75"/>
      <c r="I51" s="65"/>
      <c r="J51" s="102"/>
      <c r="K51" s="75">
        <f>$K$47*D51/($D$48+$D$49+$D$51)</f>
        <v>9348.3667295768591</v>
      </c>
      <c r="L51" s="75">
        <f>E51*$R$7*1000</f>
        <v>1967.1096679954417</v>
      </c>
      <c r="M51" s="75">
        <f>$M$47*($F51/$F$47)</f>
        <v>30095.745140818319</v>
      </c>
      <c r="N51" s="75">
        <f>$N$47*F51/$F$47</f>
        <v>2553.5783755845846</v>
      </c>
      <c r="O51" s="75">
        <f>$O$47*F51/$F$47</f>
        <v>0</v>
      </c>
      <c r="P51" s="75">
        <f>$P$8*SUM(M51:O51)/$P$62</f>
        <v>5262.7309954340681</v>
      </c>
      <c r="Q51" s="281">
        <f t="shared" si="2"/>
        <v>49227.530909409266</v>
      </c>
      <c r="R51" s="75"/>
      <c r="S51" s="102"/>
    </row>
    <row r="52" spans="1:19">
      <c r="A52" s="128"/>
      <c r="B52" s="123"/>
      <c r="C52" s="123"/>
      <c r="D52" s="123"/>
      <c r="E52" s="123"/>
      <c r="F52" s="123"/>
      <c r="G52" s="145"/>
      <c r="H52" s="75"/>
      <c r="I52" s="65"/>
      <c r="J52" s="102"/>
      <c r="K52" s="75"/>
      <c r="L52" s="75"/>
      <c r="M52" s="75"/>
      <c r="N52" s="75"/>
      <c r="O52" s="75"/>
      <c r="P52" s="75"/>
      <c r="Q52" s="281"/>
      <c r="R52" s="75"/>
      <c r="S52" s="102"/>
    </row>
    <row r="53" spans="1:19">
      <c r="A53" s="122" t="s">
        <v>814</v>
      </c>
      <c r="B53" s="123">
        <f>'RCV and ECV'!$B$45</f>
        <v>3500289200</v>
      </c>
      <c r="C53" s="123">
        <f>'RCV and ECV'!$G$45</f>
        <v>3504216636</v>
      </c>
      <c r="D53" s="123">
        <f>D56+D57</f>
        <v>2259536280.2268019</v>
      </c>
      <c r="E53" s="123">
        <f>E56+E57</f>
        <v>491158830.70206094</v>
      </c>
      <c r="F53" s="123">
        <f>F56+F57</f>
        <v>1637196102.340203</v>
      </c>
      <c r="G53" s="147">
        <f>'Total Trips Model'!$K$6-(J53)</f>
        <v>927</v>
      </c>
      <c r="H53" s="65">
        <f>'Total Trips Model'!D13-(I53)</f>
        <v>135</v>
      </c>
      <c r="I53" s="65">
        <f>+'Total Trips Model'!D7</f>
        <v>3288</v>
      </c>
      <c r="J53" s="105">
        <f>+'Total Trips Model'!E6</f>
        <v>3336</v>
      </c>
      <c r="K53" s="65">
        <f>paratransit*'Policy Allocations'!H43</f>
        <v>20687.918451764657</v>
      </c>
      <c r="L53" s="65">
        <f>SUM(L56:L57)</f>
        <v>8636.3838995254082</v>
      </c>
      <c r="M53" s="65">
        <f>(G53*$S$6)*(1-Cbd)</f>
        <v>159240.75600868239</v>
      </c>
      <c r="N53" s="65">
        <f>(H53*$S$5)*(1-Cbd)</f>
        <v>23190.401360487725</v>
      </c>
      <c r="O53" s="65">
        <f>'Bus-Sum'!E15</f>
        <v>0</v>
      </c>
      <c r="P53" s="65">
        <f>$P$8*SUM(M53:O53)/$P$62</f>
        <v>29406.00303517155</v>
      </c>
      <c r="Q53" s="283">
        <f t="shared" si="2"/>
        <v>241161.46275563171</v>
      </c>
      <c r="R53" s="75"/>
      <c r="S53" s="102"/>
    </row>
    <row r="54" spans="1:19" outlineLevel="1">
      <c r="A54" s="124" t="s">
        <v>811</v>
      </c>
      <c r="B54" s="125">
        <f>'RCV and ECV'!$B$46</f>
        <v>185410800</v>
      </c>
      <c r="C54" s="125">
        <f>'RCV and ECV'!$G$46</f>
        <v>185618836.82470259</v>
      </c>
      <c r="D54" s="125">
        <f>'RCV and ECV'!$G$46</f>
        <v>185618836.82470259</v>
      </c>
      <c r="E54" s="125">
        <f>C54*(1-'Policy Allocations'!H27)</f>
        <v>55685651.047410786</v>
      </c>
      <c r="F54" s="125">
        <f>'RCV and ECV'!$G$46</f>
        <v>185618836.82470259</v>
      </c>
      <c r="G54" s="145"/>
      <c r="H54" s="75"/>
      <c r="I54" s="75"/>
      <c r="J54" s="102"/>
      <c r="K54" s="75">
        <f>$K$53*D54/($D$54+$D$55+$D$57)</f>
        <v>1699.4935611104281</v>
      </c>
      <c r="L54" s="75">
        <f>E54*$R$5*1000</f>
        <v>979.15914380083382</v>
      </c>
      <c r="M54" s="75">
        <f>$M$53*($F54/$F$53)</f>
        <v>18054.088855432568</v>
      </c>
      <c r="N54" s="75">
        <f>$N$53*F54/$F$53</f>
        <v>2629.2362410824126</v>
      </c>
      <c r="O54" s="75">
        <f>$O$53*F54/$F$53</f>
        <v>0</v>
      </c>
      <c r="P54" s="75">
        <f>$P$8*SUM(M54:O54)/$P$62</f>
        <v>3333.9366440282442</v>
      </c>
      <c r="Q54" s="281">
        <f t="shared" si="2"/>
        <v>26695.914445454488</v>
      </c>
      <c r="R54" s="75"/>
      <c r="S54" s="102"/>
    </row>
    <row r="55" spans="1:19" outlineLevel="1">
      <c r="A55" s="124" t="s">
        <v>809</v>
      </c>
      <c r="B55" s="125">
        <f>'RCV and ECV'!$B$47</f>
        <v>828307700</v>
      </c>
      <c r="C55" s="125">
        <f>'RCV and ECV'!$G$47</f>
        <v>829237087.62890148</v>
      </c>
      <c r="D55" s="125">
        <f>'RCV and ECV'!$G$47</f>
        <v>829237087.62890148</v>
      </c>
      <c r="E55" s="125">
        <f>C55*(1-'Policy Allocations'!H27)</f>
        <v>248771126.28867048</v>
      </c>
      <c r="F55" s="125">
        <f>'RCV and ECV'!$G$47</f>
        <v>829237087.62890148</v>
      </c>
      <c r="G55" s="145"/>
      <c r="H55" s="75"/>
      <c r="I55" s="75"/>
      <c r="J55" s="102"/>
      <c r="K55" s="75">
        <f>$K$53*D55/($D$54+$D$55+$D$57)</f>
        <v>7592.3495436521953</v>
      </c>
      <c r="L55" s="75">
        <f>E55*$R$6*1000</f>
        <v>4374.3140007790162</v>
      </c>
      <c r="M55" s="75">
        <f>$M$53*($F55/$F$53)</f>
        <v>80655.176588629052</v>
      </c>
      <c r="N55" s="75">
        <f>$N$53*F55/$F$53</f>
        <v>11745.899503198405</v>
      </c>
      <c r="O55" s="75">
        <f>$O$53*F55/$F$53</f>
        <v>0</v>
      </c>
      <c r="P55" s="75">
        <f>$P$8*SUM(M55:O55)/$P$62</f>
        <v>14894.091355847415</v>
      </c>
      <c r="Q55" s="281">
        <f t="shared" si="2"/>
        <v>119261.83099210609</v>
      </c>
      <c r="R55" s="75"/>
      <c r="S55" s="102"/>
    </row>
    <row r="56" spans="1:19">
      <c r="A56" s="124" t="s">
        <v>808</v>
      </c>
      <c r="B56" s="125">
        <f>B55+B54</f>
        <v>1013718500</v>
      </c>
      <c r="C56" s="125">
        <f>C55+C54</f>
        <v>1014855924.4536041</v>
      </c>
      <c r="D56" s="125">
        <f>D55+D54</f>
        <v>1014855924.4536041</v>
      </c>
      <c r="E56" s="125">
        <f>E55+E54</f>
        <v>304456777.33608127</v>
      </c>
      <c r="F56" s="125">
        <f>F55+F54</f>
        <v>1014855924.4536041</v>
      </c>
      <c r="G56" s="145"/>
      <c r="H56" s="75"/>
      <c r="I56" s="75"/>
      <c r="J56" s="102"/>
      <c r="K56" s="125">
        <f t="shared" ref="K56:Q56" si="10">K55+K54</f>
        <v>9291.8431047626236</v>
      </c>
      <c r="L56" s="125">
        <f t="shared" si="10"/>
        <v>5353.4731445798498</v>
      </c>
      <c r="M56" s="125">
        <f t="shared" si="10"/>
        <v>98709.265444061617</v>
      </c>
      <c r="N56" s="125">
        <f t="shared" si="10"/>
        <v>14375.135744280818</v>
      </c>
      <c r="O56" s="125">
        <f t="shared" si="10"/>
        <v>0</v>
      </c>
      <c r="P56" s="125">
        <f t="shared" si="10"/>
        <v>18228.02799987566</v>
      </c>
      <c r="Q56" s="281">
        <f t="shared" si="10"/>
        <v>145957.74543756057</v>
      </c>
      <c r="R56" s="75"/>
      <c r="S56" s="102"/>
    </row>
    <row r="57" spans="1:19">
      <c r="A57" s="124" t="s">
        <v>812</v>
      </c>
      <c r="B57" s="125">
        <f>'RCV and ECV'!$B$48</f>
        <v>2486570700</v>
      </c>
      <c r="C57" s="125">
        <f>'RCV and ECV'!$G$48</f>
        <v>2489360711.5463958</v>
      </c>
      <c r="D57" s="125">
        <f>C57*(1-'Policy Allocations'!H32)</f>
        <v>1244680355.7731979</v>
      </c>
      <c r="E57" s="125">
        <f>C57*(1-'Policy Allocations'!H28)*(1-'Policy Allocations'!H27)</f>
        <v>186702053.3659797</v>
      </c>
      <c r="F57" s="125">
        <f>C57*(1-'Policy Allocations'!H21)</f>
        <v>622340177.88659894</v>
      </c>
      <c r="G57" s="145"/>
      <c r="H57" s="75"/>
      <c r="I57" s="75"/>
      <c r="J57" s="102"/>
      <c r="K57" s="75">
        <f>$K$53*D57/($D$54+$D$55+$D$57)</f>
        <v>11396.075347002035</v>
      </c>
      <c r="L57" s="75">
        <f>E57*$R$7*1000</f>
        <v>3282.9107549455584</v>
      </c>
      <c r="M57" s="75">
        <f>$M$53*($F57/$F$53)</f>
        <v>60531.49056462077</v>
      </c>
      <c r="N57" s="75">
        <f>$N$53*F57/$F$53</f>
        <v>8815.265616206907</v>
      </c>
      <c r="O57" s="75">
        <f>$O$53*F57/$F$53</f>
        <v>0</v>
      </c>
      <c r="P57" s="75">
        <f>$P$8*SUM(M57:O57)/$P$62</f>
        <v>11177.975035295894</v>
      </c>
      <c r="Q57" s="281">
        <f t="shared" si="2"/>
        <v>95203.717318071169</v>
      </c>
      <c r="R57" s="75"/>
      <c r="S57" s="102"/>
    </row>
    <row r="58" spans="1:19">
      <c r="A58" s="122"/>
      <c r="B58" s="123"/>
      <c r="C58" s="123"/>
      <c r="D58" s="123"/>
      <c r="E58" s="123"/>
      <c r="F58" s="123"/>
      <c r="G58" s="145"/>
      <c r="H58" s="75"/>
      <c r="I58" s="75"/>
      <c r="J58" s="102"/>
      <c r="K58" s="75"/>
      <c r="L58" s="75"/>
      <c r="M58" s="75"/>
      <c r="N58" s="75"/>
      <c r="O58" s="75"/>
      <c r="P58" s="75"/>
      <c r="Q58" s="281"/>
      <c r="R58" s="75"/>
      <c r="S58" s="102"/>
    </row>
    <row r="59" spans="1:19" ht="13.5" thickBot="1">
      <c r="A59" s="119"/>
      <c r="B59" s="95">
        <f t="shared" ref="B59:Q59" si="11">B53+B47+B41+B35+B29+B23+B17+B10</f>
        <v>99661963032</v>
      </c>
      <c r="C59" s="95">
        <f t="shared" si="11"/>
        <v>104482034705</v>
      </c>
      <c r="D59" s="95">
        <f t="shared" si="11"/>
        <v>99443513528.872864</v>
      </c>
      <c r="E59" s="95">
        <f t="shared" si="11"/>
        <v>90613228478.176346</v>
      </c>
      <c r="F59" s="95">
        <f t="shared" si="11"/>
        <v>96924252940.80928</v>
      </c>
      <c r="G59" s="148">
        <f t="shared" si="11"/>
        <v>56901</v>
      </c>
      <c r="H59" s="95">
        <f t="shared" si="11"/>
        <v>56901</v>
      </c>
      <c r="I59" s="95">
        <f t="shared" si="11"/>
        <v>155883</v>
      </c>
      <c r="J59" s="129">
        <f t="shared" si="11"/>
        <v>155883</v>
      </c>
      <c r="K59" s="95">
        <f t="shared" si="11"/>
        <v>1023341.956085511</v>
      </c>
      <c r="L59" s="95">
        <f t="shared" si="11"/>
        <v>1593314.7865718612</v>
      </c>
      <c r="M59" s="95">
        <f t="shared" si="11"/>
        <v>12531405.772204293</v>
      </c>
      <c r="N59" s="95">
        <f t="shared" si="11"/>
        <v>12531405.772204293</v>
      </c>
      <c r="O59" s="95">
        <f t="shared" si="11"/>
        <v>1007850.1857862864</v>
      </c>
      <c r="P59" s="95">
        <f t="shared" si="11"/>
        <v>4202319.2146704998</v>
      </c>
      <c r="Q59" s="285">
        <f t="shared" si="11"/>
        <v>32889637.687522743</v>
      </c>
      <c r="R59" s="75"/>
      <c r="S59" s="102"/>
    </row>
    <row r="60" spans="1:19">
      <c r="A60" s="119"/>
      <c r="B60" s="91"/>
      <c r="C60" s="75"/>
      <c r="D60" s="75"/>
      <c r="E60" s="75"/>
      <c r="F60" s="75"/>
      <c r="G60" s="75"/>
      <c r="H60" s="75"/>
      <c r="I60" s="130"/>
      <c r="J60" s="102"/>
      <c r="K60" s="75"/>
      <c r="L60" s="75"/>
      <c r="M60" s="75"/>
      <c r="N60" s="75"/>
      <c r="O60" s="75"/>
      <c r="P60" s="75"/>
      <c r="Q60" s="101"/>
      <c r="R60" s="75"/>
      <c r="S60" s="102"/>
    </row>
    <row r="61" spans="1:19">
      <c r="A61" s="119" t="s">
        <v>686</v>
      </c>
      <c r="B61" s="130">
        <f t="shared" ref="B61:Q61" si="12">B8-B59</f>
        <v>0</v>
      </c>
      <c r="C61" s="130">
        <f t="shared" si="12"/>
        <v>0</v>
      </c>
      <c r="D61" s="130">
        <f t="shared" si="12"/>
        <v>0</v>
      </c>
      <c r="E61" s="130">
        <f t="shared" si="12"/>
        <v>0</v>
      </c>
      <c r="F61" s="130">
        <f t="shared" si="12"/>
        <v>0</v>
      </c>
      <c r="G61" s="130">
        <f t="shared" si="12"/>
        <v>0</v>
      </c>
      <c r="H61" s="130">
        <f t="shared" si="12"/>
        <v>0</v>
      </c>
      <c r="I61" s="130">
        <f t="shared" si="12"/>
        <v>0</v>
      </c>
      <c r="J61" s="132">
        <f t="shared" si="12"/>
        <v>0</v>
      </c>
      <c r="K61" s="130">
        <f t="shared" si="12"/>
        <v>0</v>
      </c>
      <c r="L61" s="130">
        <f t="shared" si="12"/>
        <v>0</v>
      </c>
      <c r="M61" s="130">
        <f t="shared" si="12"/>
        <v>0</v>
      </c>
      <c r="N61" s="130">
        <f t="shared" si="12"/>
        <v>0</v>
      </c>
      <c r="O61" s="130">
        <f t="shared" si="12"/>
        <v>0</v>
      </c>
      <c r="P61" s="130">
        <f t="shared" si="12"/>
        <v>0</v>
      </c>
      <c r="Q61" s="130">
        <f t="shared" si="12"/>
        <v>0</v>
      </c>
      <c r="R61" s="75"/>
      <c r="S61" s="102"/>
    </row>
    <row r="62" spans="1:19">
      <c r="A62" s="119"/>
      <c r="B62" s="91"/>
      <c r="C62" s="75"/>
      <c r="D62" s="75"/>
      <c r="E62" s="75"/>
      <c r="F62" s="75"/>
      <c r="G62" s="75"/>
      <c r="H62" s="75"/>
      <c r="I62" s="75"/>
      <c r="J62" s="102"/>
      <c r="K62" s="75"/>
      <c r="L62" s="75"/>
      <c r="M62" s="75"/>
      <c r="N62" s="75"/>
      <c r="O62" s="136" t="s">
        <v>37</v>
      </c>
      <c r="P62" s="130">
        <f>SUM(M59:O59)</f>
        <v>26070661.730194874</v>
      </c>
      <c r="Q62" s="101"/>
      <c r="R62" s="101"/>
      <c r="S62" s="135"/>
    </row>
    <row r="63" spans="1:19">
      <c r="A63" s="119"/>
      <c r="B63" s="91"/>
      <c r="C63" s="75"/>
      <c r="D63" s="75"/>
      <c r="E63" s="75"/>
      <c r="F63" s="75"/>
      <c r="G63" s="75"/>
      <c r="H63" s="75"/>
      <c r="I63" s="75"/>
      <c r="J63" s="102"/>
      <c r="K63" s="75"/>
      <c r="L63" s="75"/>
      <c r="M63" s="75"/>
      <c r="N63" s="75"/>
      <c r="O63" s="75"/>
      <c r="P63" s="75"/>
      <c r="Q63" s="75"/>
      <c r="R63" s="101"/>
      <c r="S63" s="135"/>
    </row>
    <row r="64" spans="1:19" ht="13.5" thickBot="1">
      <c r="A64" s="119"/>
      <c r="B64" s="91"/>
      <c r="C64" s="75"/>
      <c r="D64" s="75"/>
      <c r="E64" s="75"/>
      <c r="F64" s="75"/>
      <c r="G64" s="75"/>
      <c r="H64" s="75"/>
      <c r="I64" s="75"/>
      <c r="J64" s="102"/>
      <c r="K64" s="75"/>
      <c r="L64" s="75"/>
      <c r="M64" s="75"/>
      <c r="N64" s="75"/>
      <c r="O64" s="75" t="s">
        <v>265</v>
      </c>
      <c r="P64" s="75"/>
      <c r="Q64" s="95">
        <f>'Essbase Download'!C345</f>
        <v>54951132.340043515</v>
      </c>
      <c r="R64" s="101"/>
      <c r="S64" s="135"/>
    </row>
    <row r="65" spans="1:19">
      <c r="A65" s="119"/>
      <c r="B65" s="91"/>
      <c r="C65" s="75"/>
      <c r="D65" s="75"/>
      <c r="E65" s="75"/>
      <c r="F65" s="75"/>
      <c r="G65" s="75"/>
      <c r="H65" s="75"/>
      <c r="I65" s="75"/>
      <c r="J65" s="102"/>
      <c r="K65" s="75"/>
      <c r="L65" s="75"/>
      <c r="M65" s="75"/>
      <c r="N65" s="75"/>
      <c r="O65" s="75"/>
      <c r="P65" s="75"/>
      <c r="Q65" s="101"/>
      <c r="R65" s="101"/>
      <c r="S65" s="135"/>
    </row>
    <row r="66" spans="1:19">
      <c r="A66" s="131"/>
      <c r="B66" s="133"/>
      <c r="C66" s="103"/>
      <c r="D66" s="103"/>
      <c r="E66" s="103"/>
      <c r="F66" s="103"/>
      <c r="G66" s="103"/>
      <c r="H66" s="103"/>
      <c r="I66" s="103"/>
      <c r="J66" s="104"/>
      <c r="K66" s="103"/>
      <c r="L66" s="103"/>
      <c r="M66" s="103"/>
      <c r="N66" s="103"/>
      <c r="O66" s="103" t="s">
        <v>266</v>
      </c>
      <c r="P66" s="103"/>
      <c r="Q66" s="137">
        <f>Q64-Q59</f>
        <v>22061494.652520772</v>
      </c>
      <c r="R66" s="110"/>
      <c r="S66" s="138"/>
    </row>
  </sheetData>
  <phoneticPr fontId="4" type="noConversion"/>
  <pageMargins left="0.16" right="0.16" top="0.2" bottom="0.15748031496062992" header="0.15748031496062992" footer="0.15748031496062992"/>
  <pageSetup paperSize="9" scale="64" orientation="landscape" r:id="rId1"/>
  <headerFooter alignWithMargins="0">
    <oddFooter>&amp;L&amp;BGreater Wellington Confidential&amp;B&amp;C&amp;D&amp;RPage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6" tint="0.59999389629810485"/>
    <pageSetUpPr fitToPage="1"/>
  </sheetPr>
  <dimension ref="A1:L73"/>
  <sheetViews>
    <sheetView workbookViewId="0">
      <pane xSplit="1" ySplit="7" topLeftCell="B50" activePane="bottomRight" state="frozen"/>
      <selection activeCell="I26" sqref="I26"/>
      <selection pane="topRight" activeCell="I26" sqref="I26"/>
      <selection pane="bottomLeft" activeCell="I26" sqref="I26"/>
      <selection pane="bottomRight" activeCell="A51" sqref="A51"/>
    </sheetView>
  </sheetViews>
  <sheetFormatPr defaultColWidth="9.140625" defaultRowHeight="12.75"/>
  <cols>
    <col min="1" max="1" width="20.42578125" style="458" customWidth="1"/>
    <col min="2" max="2" width="15.28515625" style="458" customWidth="1"/>
    <col min="3" max="3" width="15.7109375" style="458" customWidth="1"/>
    <col min="4" max="4" width="14.7109375" style="458" customWidth="1"/>
    <col min="5" max="5" width="13.85546875" style="460" customWidth="1"/>
    <col min="6" max="6" width="10.28515625" style="458" bestFit="1" customWidth="1"/>
    <col min="7" max="7" width="17.140625" style="461" customWidth="1"/>
    <col min="8" max="8" width="15.140625" style="461" customWidth="1"/>
    <col min="9" max="9" width="7.28515625" style="458" customWidth="1"/>
    <col min="10" max="11" width="14.7109375" style="594" customWidth="1"/>
    <col min="12" max="12" width="8.28515625" style="678" customWidth="1"/>
    <col min="13" max="16384" width="9.140625" style="458"/>
  </cols>
  <sheetData>
    <row r="1" spans="1:12" ht="15.75">
      <c r="A1" s="483" t="s">
        <v>793</v>
      </c>
      <c r="B1" s="37"/>
      <c r="C1" s="37"/>
      <c r="D1" s="37"/>
      <c r="E1" s="456"/>
      <c r="F1" s="37"/>
      <c r="G1" s="457"/>
      <c r="H1" s="457"/>
      <c r="I1" s="457"/>
      <c r="J1" s="575"/>
      <c r="K1" s="576"/>
    </row>
    <row r="2" spans="1:12" ht="15.75">
      <c r="A2" s="483" t="str">
        <f>Instructions!A2</f>
        <v>Final Public Transport Rate 2015/16</v>
      </c>
      <c r="B2" s="37"/>
      <c r="C2" s="37"/>
      <c r="D2" s="37"/>
      <c r="E2" s="456"/>
      <c r="F2" s="37"/>
      <c r="G2" s="459"/>
      <c r="H2" s="459"/>
      <c r="I2" s="459"/>
      <c r="J2" s="577"/>
      <c r="K2" s="578"/>
    </row>
    <row r="3" spans="1:12" ht="15.75">
      <c r="A3" s="483" t="s">
        <v>541</v>
      </c>
      <c r="B3" s="37"/>
      <c r="C3" s="37"/>
      <c r="D3" s="37"/>
      <c r="E3" s="456"/>
      <c r="F3" s="37"/>
      <c r="G3" s="459"/>
      <c r="H3" s="459"/>
      <c r="I3" s="459"/>
      <c r="J3" s="577"/>
      <c r="K3" s="578"/>
    </row>
    <row r="4" spans="1:12" ht="15.75">
      <c r="A4" s="483"/>
      <c r="B4" s="37"/>
      <c r="C4" s="37"/>
      <c r="D4" s="37"/>
      <c r="E4" s="456"/>
      <c r="F4" s="37"/>
      <c r="G4" s="459"/>
      <c r="H4" s="459"/>
      <c r="I4" s="459"/>
      <c r="J4" s="577"/>
      <c r="K4" s="578"/>
    </row>
    <row r="5" spans="1:12" ht="13.7" customHeight="1">
      <c r="A5" s="488"/>
      <c r="B5" s="489" t="s">
        <v>794</v>
      </c>
      <c r="C5" s="490"/>
      <c r="D5" s="814" t="s">
        <v>795</v>
      </c>
      <c r="E5" s="816" t="s">
        <v>796</v>
      </c>
      <c r="F5" s="601"/>
      <c r="G5" s="812" t="s">
        <v>367</v>
      </c>
      <c r="H5" s="812" t="str">
        <f>C59</f>
        <v>Net Roll Value Capital Value</v>
      </c>
      <c r="I5" s="491"/>
      <c r="J5" s="579" t="s">
        <v>1101</v>
      </c>
      <c r="K5" s="580"/>
    </row>
    <row r="6" spans="1:12">
      <c r="A6" s="548" t="s">
        <v>1232</v>
      </c>
      <c r="B6" s="492" t="s">
        <v>797</v>
      </c>
      <c r="C6" s="493"/>
      <c r="D6" s="815"/>
      <c r="E6" s="817"/>
      <c r="F6" s="511"/>
      <c r="G6" s="813"/>
      <c r="H6" s="813"/>
      <c r="I6" s="495"/>
      <c r="J6" s="581"/>
      <c r="K6" s="582"/>
    </row>
    <row r="7" spans="1:12">
      <c r="A7" s="496"/>
      <c r="B7" s="497" t="s">
        <v>798</v>
      </c>
      <c r="C7" s="498" t="s">
        <v>697</v>
      </c>
      <c r="D7" s="498"/>
      <c r="E7" s="602"/>
      <c r="F7" s="511"/>
      <c r="G7" s="603"/>
      <c r="H7" s="534" t="s">
        <v>1168</v>
      </c>
      <c r="I7" s="495"/>
      <c r="J7" s="666" t="s">
        <v>1155</v>
      </c>
      <c r="K7" s="667"/>
    </row>
    <row r="8" spans="1:12">
      <c r="A8" s="500"/>
      <c r="B8" s="494"/>
      <c r="C8" s="494"/>
      <c r="D8" s="494"/>
      <c r="E8" s="501"/>
      <c r="F8" s="494"/>
      <c r="G8" s="494"/>
      <c r="H8" s="494"/>
      <c r="I8" s="495"/>
      <c r="J8" s="583"/>
      <c r="K8" s="584"/>
    </row>
    <row r="9" spans="1:12">
      <c r="A9" s="502" t="s">
        <v>799</v>
      </c>
      <c r="B9" s="726">
        <v>47137086782</v>
      </c>
      <c r="C9" s="504">
        <f>+B10+B11+B12+B13-B9</f>
        <v>0</v>
      </c>
      <c r="D9" s="728">
        <v>75507</v>
      </c>
      <c r="E9" s="505"/>
      <c r="F9" s="37"/>
      <c r="G9" s="506">
        <f>SUM(G10:G13)</f>
        <v>50999224059</v>
      </c>
      <c r="H9" s="600">
        <f>+C61</f>
        <v>50999224059</v>
      </c>
      <c r="I9" s="507">
        <f>+H9/$H$51</f>
        <v>0.48808236382137515</v>
      </c>
      <c r="J9" s="585">
        <v>47080501882</v>
      </c>
      <c r="K9" s="586">
        <f>+B9-J9</f>
        <v>56584900</v>
      </c>
      <c r="L9" s="678">
        <f>K9/J9</f>
        <v>1.2018754630488287E-3</v>
      </c>
    </row>
    <row r="10" spans="1:12">
      <c r="A10" s="508" t="s">
        <v>800</v>
      </c>
      <c r="B10" s="727">
        <v>7225543732</v>
      </c>
      <c r="C10" s="494"/>
      <c r="D10" s="729">
        <v>3437</v>
      </c>
      <c r="E10" s="504">
        <f>+B10/D10</f>
        <v>2102282.1448938027</v>
      </c>
      <c r="F10" s="37"/>
      <c r="G10" s="510">
        <f>ROUND(B10*$H$9/$B$9,0)</f>
        <v>7817562537</v>
      </c>
      <c r="H10" s="495"/>
      <c r="I10" s="140"/>
      <c r="J10" s="585">
        <v>7334583732</v>
      </c>
      <c r="K10" s="586">
        <f>+B10-J10</f>
        <v>-109040000</v>
      </c>
      <c r="L10" s="678">
        <f>K10/J10</f>
        <v>-1.4866556028840492E-2</v>
      </c>
    </row>
    <row r="11" spans="1:12">
      <c r="A11" s="508" t="s">
        <v>801</v>
      </c>
      <c r="B11" s="727">
        <v>3445867200</v>
      </c>
      <c r="C11" s="504"/>
      <c r="D11" s="729">
        <v>1920</v>
      </c>
      <c r="E11" s="504">
        <f>+B11/D11</f>
        <v>1794722.5</v>
      </c>
      <c r="F11" s="37"/>
      <c r="G11" s="510">
        <f>ROUND(B11*$H$9/$B$9,0)</f>
        <v>3728201410</v>
      </c>
      <c r="H11" s="139"/>
      <c r="I11" s="140"/>
      <c r="J11" s="585">
        <v>3481760800</v>
      </c>
      <c r="K11" s="586">
        <f>+B11-J11</f>
        <v>-35893600</v>
      </c>
      <c r="L11" s="678">
        <f>K11/J11</f>
        <v>-1.030903673796316E-2</v>
      </c>
    </row>
    <row r="12" spans="1:12">
      <c r="A12" s="508" t="s">
        <v>802</v>
      </c>
      <c r="B12" s="727">
        <v>35925376200</v>
      </c>
      <c r="C12" s="504"/>
      <c r="D12" s="729">
        <v>69418</v>
      </c>
      <c r="E12" s="504">
        <f>+B12/D12</f>
        <v>517522.48984413262</v>
      </c>
      <c r="F12" s="37"/>
      <c r="G12" s="510">
        <f>ROUND(B12*$H$9/$B$9,0)</f>
        <v>38868891468</v>
      </c>
      <c r="H12" s="139"/>
      <c r="I12" s="140"/>
      <c r="J12" s="585">
        <v>35724001700</v>
      </c>
      <c r="K12" s="586">
        <f>+B12-J12</f>
        <v>201374500</v>
      </c>
      <c r="L12" s="678">
        <f>K12/J12</f>
        <v>5.6369524806063366E-3</v>
      </c>
    </row>
    <row r="13" spans="1:12">
      <c r="A13" s="508" t="s">
        <v>803</v>
      </c>
      <c r="B13" s="727">
        <v>540299650</v>
      </c>
      <c r="C13" s="504"/>
      <c r="D13" s="730">
        <v>732</v>
      </c>
      <c r="E13" s="504">
        <f>+B13/D13</f>
        <v>738114.27595628414</v>
      </c>
      <c r="F13" s="37"/>
      <c r="G13" s="510">
        <f>ROUND(B13*$H$9/$B$9,0)</f>
        <v>584568644</v>
      </c>
      <c r="H13" s="139"/>
      <c r="I13" s="140"/>
      <c r="J13" s="585">
        <v>540155650</v>
      </c>
      <c r="K13" s="586">
        <f>+B13-J13</f>
        <v>144000</v>
      </c>
      <c r="L13" s="678">
        <f>K13/J13</f>
        <v>2.6658982461814478E-4</v>
      </c>
    </row>
    <row r="14" spans="1:12">
      <c r="A14" s="502"/>
      <c r="B14" s="674"/>
      <c r="C14" s="494"/>
      <c r="D14" s="676"/>
      <c r="E14" s="501"/>
      <c r="F14" s="37"/>
      <c r="G14" s="510"/>
      <c r="H14" s="139"/>
      <c r="I14" s="140"/>
      <c r="J14" s="587"/>
      <c r="K14" s="588"/>
    </row>
    <row r="15" spans="1:12">
      <c r="A15" s="502" t="s">
        <v>279</v>
      </c>
      <c r="B15" s="503">
        <v>16996643500</v>
      </c>
      <c r="C15" s="504">
        <f>+B16+B17+B18-B15</f>
        <v>0</v>
      </c>
      <c r="D15" s="501">
        <v>38547</v>
      </c>
      <c r="E15" s="501"/>
      <c r="F15" s="37"/>
      <c r="G15" s="506">
        <f>SUM(G16:G18)</f>
        <v>17421025464</v>
      </c>
      <c r="H15" s="600">
        <f>+C62</f>
        <v>17421025464</v>
      </c>
      <c r="I15" s="507">
        <f>+H15/$H$51</f>
        <v>0.16672597368980863</v>
      </c>
      <c r="J15" s="585">
        <v>16893576500</v>
      </c>
      <c r="K15" s="586">
        <f>+B15-J15</f>
        <v>103067000</v>
      </c>
      <c r="L15" s="678">
        <f t="shared" ref="L15:L51" si="0">K15/J15</f>
        <v>6.10095795878392E-3</v>
      </c>
    </row>
    <row r="16" spans="1:12">
      <c r="A16" s="508" t="s">
        <v>801</v>
      </c>
      <c r="B16" s="509">
        <v>3291845500</v>
      </c>
      <c r="C16" s="494"/>
      <c r="D16" s="516">
        <v>2320</v>
      </c>
      <c r="E16" s="504">
        <f>+B16/D16</f>
        <v>1418898.9224137932</v>
      </c>
      <c r="F16" s="37"/>
      <c r="G16" s="510">
        <f>B16*$H$15/$B$15</f>
        <v>3374038190.4847159</v>
      </c>
      <c r="H16" s="139"/>
      <c r="I16" s="512"/>
      <c r="J16" s="585">
        <v>3298222500</v>
      </c>
      <c r="K16" s="586">
        <f>+B16-J16</f>
        <v>-6377000</v>
      </c>
      <c r="L16" s="678">
        <f t="shared" si="0"/>
        <v>-1.9334656773459036E-3</v>
      </c>
    </row>
    <row r="17" spans="1:12">
      <c r="A17" s="508" t="s">
        <v>802</v>
      </c>
      <c r="B17" s="509">
        <v>13431799000</v>
      </c>
      <c r="C17" s="504"/>
      <c r="D17" s="516">
        <v>35745</v>
      </c>
      <c r="E17" s="504">
        <f>+B17/D17</f>
        <v>375767.21219751012</v>
      </c>
      <c r="F17" s="37"/>
      <c r="G17" s="510">
        <f>B17*$H$15/$B$15</f>
        <v>13767171877.572752</v>
      </c>
      <c r="H17" s="139"/>
      <c r="I17" s="140"/>
      <c r="J17" s="585">
        <v>13325812500</v>
      </c>
      <c r="K17" s="586">
        <f>+B17-J17</f>
        <v>105986500</v>
      </c>
      <c r="L17" s="678">
        <f t="shared" si="0"/>
        <v>7.9534737562906577E-3</v>
      </c>
    </row>
    <row r="18" spans="1:12">
      <c r="A18" s="508" t="s">
        <v>803</v>
      </c>
      <c r="B18" s="509">
        <v>272999000</v>
      </c>
      <c r="C18" s="504"/>
      <c r="D18" s="516">
        <v>482</v>
      </c>
      <c r="E18" s="504">
        <f>+B18/D18</f>
        <v>566387.96680497925</v>
      </c>
      <c r="F18" s="37"/>
      <c r="G18" s="510">
        <f>B18*$H$15/$B$15</f>
        <v>279815395.94253045</v>
      </c>
      <c r="H18" s="139"/>
      <c r="I18" s="140"/>
      <c r="J18" s="585">
        <v>269541500</v>
      </c>
      <c r="K18" s="586">
        <f>+B18-J18</f>
        <v>3457500</v>
      </c>
      <c r="L18" s="678">
        <f t="shared" si="0"/>
        <v>1.2827338276295116E-2</v>
      </c>
    </row>
    <row r="19" spans="1:12">
      <c r="A19" s="502"/>
      <c r="B19" s="674"/>
      <c r="C19" s="494"/>
      <c r="D19" s="676"/>
      <c r="E19" s="501"/>
      <c r="F19" s="37"/>
      <c r="G19" s="510"/>
      <c r="H19" s="139"/>
      <c r="I19" s="140"/>
      <c r="J19" s="587"/>
      <c r="K19" s="588"/>
    </row>
    <row r="20" spans="1:12">
      <c r="A20" s="502" t="s">
        <v>805</v>
      </c>
      <c r="B20" s="503">
        <v>6660033350</v>
      </c>
      <c r="C20" s="504">
        <f>+B21+B22+B23-B20</f>
        <v>0</v>
      </c>
      <c r="D20" s="501">
        <v>16372</v>
      </c>
      <c r="E20" s="501"/>
      <c r="F20" s="37"/>
      <c r="G20" s="506">
        <f>SUM(G21:G23)</f>
        <v>6850261681</v>
      </c>
      <c r="H20" s="600">
        <f>+C63</f>
        <v>6850261681</v>
      </c>
      <c r="I20" s="507">
        <f>+H20/$H$51</f>
        <v>6.5559662440931393E-2</v>
      </c>
      <c r="J20" s="585">
        <v>6595455350</v>
      </c>
      <c r="K20" s="586">
        <f>+B20-J20</f>
        <v>64578000</v>
      </c>
      <c r="L20" s="678">
        <f t="shared" si="0"/>
        <v>9.7912875719793936E-3</v>
      </c>
    </row>
    <row r="21" spans="1:12">
      <c r="A21" s="508" t="s">
        <v>801</v>
      </c>
      <c r="B21" s="509">
        <v>1060933800</v>
      </c>
      <c r="C21" s="494"/>
      <c r="D21" s="516">
        <v>712</v>
      </c>
      <c r="E21" s="504">
        <f>+B21/D21</f>
        <v>1490075.5617977527</v>
      </c>
      <c r="F21" s="37"/>
      <c r="G21" s="510">
        <f>B21*$H$20/$B$20</f>
        <v>1091236901.4214797</v>
      </c>
      <c r="H21" s="139"/>
      <c r="I21" s="140"/>
      <c r="J21" s="585">
        <v>1054273800</v>
      </c>
      <c r="K21" s="586">
        <f>+B21-J21</f>
        <v>6660000</v>
      </c>
      <c r="L21" s="678">
        <f t="shared" si="0"/>
        <v>6.3171445596011209E-3</v>
      </c>
    </row>
    <row r="22" spans="1:12">
      <c r="A22" s="508" t="s">
        <v>802</v>
      </c>
      <c r="B22" s="509">
        <v>4905972050</v>
      </c>
      <c r="C22" s="504"/>
      <c r="D22" s="516">
        <v>14495</v>
      </c>
      <c r="E22" s="504">
        <f>+B22/D22</f>
        <v>338459.61021041736</v>
      </c>
      <c r="F22" s="37"/>
      <c r="G22" s="510">
        <f>B22*$H$20/$B$20</f>
        <v>5046099707.9199333</v>
      </c>
      <c r="H22" s="139"/>
      <c r="I22" s="140"/>
      <c r="J22" s="585">
        <v>4853792050</v>
      </c>
      <c r="K22" s="586">
        <f>+B22-J22</f>
        <v>52180000</v>
      </c>
      <c r="L22" s="678">
        <f t="shared" si="0"/>
        <v>1.0750357547765155E-2</v>
      </c>
    </row>
    <row r="23" spans="1:12">
      <c r="A23" s="508" t="s">
        <v>803</v>
      </c>
      <c r="B23" s="509">
        <v>693127500</v>
      </c>
      <c r="C23" s="504"/>
      <c r="D23" s="516">
        <v>1165</v>
      </c>
      <c r="E23" s="504">
        <f>+B23/D23</f>
        <v>594959.2274678112</v>
      </c>
      <c r="F23" s="37"/>
      <c r="G23" s="510">
        <f>B23*$H$20/$B$20</f>
        <v>712925071.65858662</v>
      </c>
      <c r="H23" s="139"/>
      <c r="I23" s="140"/>
      <c r="J23" s="585">
        <v>687389500</v>
      </c>
      <c r="K23" s="586">
        <f>+B23-J23</f>
        <v>5738000</v>
      </c>
      <c r="L23" s="678">
        <f t="shared" si="0"/>
        <v>8.347523492866854E-3</v>
      </c>
    </row>
    <row r="24" spans="1:12">
      <c r="A24" s="508"/>
      <c r="B24" s="674"/>
      <c r="C24" s="504"/>
      <c r="D24" s="676"/>
      <c r="E24" s="501"/>
      <c r="F24" s="37"/>
      <c r="G24" s="510"/>
      <c r="H24" s="139"/>
      <c r="I24" s="512"/>
      <c r="J24" s="587"/>
      <c r="K24" s="589"/>
    </row>
    <row r="25" spans="1:12">
      <c r="A25" s="502" t="s">
        <v>806</v>
      </c>
      <c r="B25" s="503">
        <v>7973186800</v>
      </c>
      <c r="C25" s="504">
        <f>+B26+B27+B28-B25</f>
        <v>0</v>
      </c>
      <c r="D25" s="501">
        <v>18076</v>
      </c>
      <c r="E25" s="501"/>
      <c r="F25" s="37"/>
      <c r="G25" s="506">
        <f>SUM(G26:G28)</f>
        <v>8103339693</v>
      </c>
      <c r="H25" s="600">
        <f>+C64</f>
        <v>8103339693</v>
      </c>
      <c r="I25" s="507">
        <f>+H25/$H$51</f>
        <v>7.7552105256178838E-2</v>
      </c>
      <c r="J25" s="585">
        <v>7927154300</v>
      </c>
      <c r="K25" s="586">
        <f>+B25-J25</f>
        <v>46032500</v>
      </c>
      <c r="L25" s="678">
        <f t="shared" si="0"/>
        <v>5.8069388153577381E-3</v>
      </c>
    </row>
    <row r="26" spans="1:12">
      <c r="A26" s="508" t="s">
        <v>801</v>
      </c>
      <c r="B26" s="509">
        <v>958319600</v>
      </c>
      <c r="C26" s="494"/>
      <c r="D26" s="516">
        <v>793</v>
      </c>
      <c r="E26" s="504">
        <f>+B26/D26</f>
        <v>1208473.6443883984</v>
      </c>
      <c r="F26" s="37"/>
      <c r="G26" s="510">
        <f>B26*$H$25/$B$25</f>
        <v>973963039.88009942</v>
      </c>
      <c r="H26" s="139"/>
      <c r="I26" s="140"/>
      <c r="J26" s="585">
        <v>960389600</v>
      </c>
      <c r="K26" s="586">
        <f>+B26-J26</f>
        <v>-2070000</v>
      </c>
      <c r="L26" s="678">
        <f t="shared" si="0"/>
        <v>-2.1553752768668048E-3</v>
      </c>
    </row>
    <row r="27" spans="1:12">
      <c r="A27" s="508" t="s">
        <v>802</v>
      </c>
      <c r="B27" s="509">
        <v>6491480050</v>
      </c>
      <c r="C27" s="504"/>
      <c r="D27" s="516">
        <v>16683</v>
      </c>
      <c r="E27" s="513">
        <f>+B27/D27</f>
        <v>389107.47767188156</v>
      </c>
      <c r="F27" s="37"/>
      <c r="G27" s="510">
        <f>B27*$H$25/$B$25</f>
        <v>6597445823.7304344</v>
      </c>
      <c r="H27" s="139"/>
      <c r="I27" s="140"/>
      <c r="J27" s="585">
        <v>6448965050</v>
      </c>
      <c r="K27" s="586">
        <f>+B27-J27</f>
        <v>42515000</v>
      </c>
      <c r="L27" s="678">
        <f t="shared" si="0"/>
        <v>6.592530688315639E-3</v>
      </c>
    </row>
    <row r="28" spans="1:12">
      <c r="A28" s="508" t="s">
        <v>803</v>
      </c>
      <c r="B28" s="509">
        <v>523387150</v>
      </c>
      <c r="C28" s="494"/>
      <c r="D28" s="516">
        <v>600</v>
      </c>
      <c r="E28" s="513">
        <f>+B28/D28</f>
        <v>872311.91666666663</v>
      </c>
      <c r="F28" s="37"/>
      <c r="G28" s="510">
        <f>B28*$H$25/$B$25</f>
        <v>531930829.38946629</v>
      </c>
      <c r="H28" s="139"/>
      <c r="I28" s="512"/>
      <c r="J28" s="585">
        <v>517799650</v>
      </c>
      <c r="K28" s="586">
        <f>+B28-J28</f>
        <v>5587500</v>
      </c>
      <c r="L28" s="678">
        <f t="shared" si="0"/>
        <v>1.0790853180375846E-2</v>
      </c>
    </row>
    <row r="29" spans="1:12">
      <c r="A29" s="502"/>
      <c r="B29" s="674"/>
      <c r="C29" s="494"/>
      <c r="D29" s="676"/>
      <c r="E29" s="501"/>
      <c r="F29" s="37"/>
      <c r="G29" s="510"/>
      <c r="H29" s="139"/>
      <c r="I29" s="140"/>
      <c r="J29" s="587"/>
      <c r="K29" s="588"/>
    </row>
    <row r="30" spans="1:12">
      <c r="A30" s="502" t="s">
        <v>807</v>
      </c>
      <c r="B30" s="503">
        <v>10660861700</v>
      </c>
      <c r="C30" s="504">
        <f>+B31+B32+B33-B30</f>
        <v>0</v>
      </c>
      <c r="D30" s="501">
        <v>24439</v>
      </c>
      <c r="E30" s="494"/>
      <c r="F30" s="37"/>
      <c r="G30" s="510">
        <f>SUM(G31:G33)</f>
        <v>10737703029</v>
      </c>
      <c r="H30" s="600">
        <f>+C65</f>
        <v>10737703029</v>
      </c>
      <c r="I30" s="507">
        <f>+H30/$H$51</f>
        <v>0.10276398461167144</v>
      </c>
      <c r="J30" s="585">
        <v>10359797250</v>
      </c>
      <c r="K30" s="586">
        <f>+B30-J30</f>
        <v>301064450</v>
      </c>
      <c r="L30" s="678">
        <f t="shared" si="0"/>
        <v>2.9060843830703346E-2</v>
      </c>
    </row>
    <row r="31" spans="1:12">
      <c r="A31" s="508" t="s">
        <v>790</v>
      </c>
      <c r="B31" s="509">
        <v>1261552800</v>
      </c>
      <c r="C31" s="494"/>
      <c r="D31" s="516">
        <v>1347</v>
      </c>
      <c r="E31" s="501">
        <f>+B31/D31</f>
        <v>936564.81069042312</v>
      </c>
      <c r="F31" s="37"/>
      <c r="G31" s="510">
        <f>B31*$H$30/$B$30</f>
        <v>1270645816.7263751</v>
      </c>
      <c r="H31" s="139"/>
      <c r="I31" s="514"/>
      <c r="J31" s="585">
        <v>1197189800</v>
      </c>
      <c r="K31" s="586">
        <f>+B31-J31</f>
        <v>64363000</v>
      </c>
      <c r="L31" s="678">
        <f t="shared" si="0"/>
        <v>5.3761734354903459E-2</v>
      </c>
    </row>
    <row r="32" spans="1:12">
      <c r="A32" s="508" t="s">
        <v>809</v>
      </c>
      <c r="B32" s="725">
        <v>7780286850</v>
      </c>
      <c r="C32" s="494"/>
      <c r="D32" s="516">
        <v>20320</v>
      </c>
      <c r="E32" s="501">
        <f>+B32/D32</f>
        <v>382888.13238188974</v>
      </c>
      <c r="F32" s="37"/>
      <c r="G32" s="510">
        <f>B32*$H$30/$B$30</f>
        <v>7836365579.6917315</v>
      </c>
      <c r="H32" s="139"/>
      <c r="I32" s="514"/>
      <c r="J32" s="585">
        <v>7539174850</v>
      </c>
      <c r="K32" s="586">
        <f>+B32-J32</f>
        <v>241112000</v>
      </c>
      <c r="L32" s="678">
        <f t="shared" si="0"/>
        <v>3.1981218740403668E-2</v>
      </c>
    </row>
    <row r="33" spans="1:12">
      <c r="A33" s="508" t="s">
        <v>803</v>
      </c>
      <c r="B33" s="509">
        <v>1619022050</v>
      </c>
      <c r="C33" s="494"/>
      <c r="D33" s="516">
        <v>2772</v>
      </c>
      <c r="E33" s="501">
        <f>+B33/D33</f>
        <v>584062.78860028856</v>
      </c>
      <c r="F33" s="37"/>
      <c r="G33" s="510">
        <f>B33*$H$30/$B$30</f>
        <v>1630691632.5818944</v>
      </c>
      <c r="H33" s="139"/>
      <c r="I33" s="512"/>
      <c r="J33" s="585">
        <v>1623432600</v>
      </c>
      <c r="K33" s="586">
        <f>+B33-J33</f>
        <v>-4410550</v>
      </c>
      <c r="L33" s="678">
        <f t="shared" si="0"/>
        <v>-2.716805120212567E-3</v>
      </c>
    </row>
    <row r="34" spans="1:12">
      <c r="A34" s="508"/>
      <c r="B34" s="674"/>
      <c r="C34" s="494"/>
      <c r="D34" s="676"/>
      <c r="E34" s="494"/>
      <c r="F34" s="37"/>
      <c r="G34" s="495"/>
      <c r="H34" s="139"/>
      <c r="I34" s="512"/>
      <c r="J34" s="587"/>
      <c r="K34" s="590"/>
    </row>
    <row r="35" spans="1:12">
      <c r="A35" s="502" t="s">
        <v>810</v>
      </c>
      <c r="B35" s="503">
        <v>4620819400</v>
      </c>
      <c r="C35" s="504">
        <f>+B36+B37+B38-B35</f>
        <v>0</v>
      </c>
      <c r="D35" s="501">
        <v>12219</v>
      </c>
      <c r="E35" s="501"/>
      <c r="F35" s="37"/>
      <c r="G35" s="506">
        <f>SUM(G36:G38)</f>
        <v>4693960680</v>
      </c>
      <c r="H35" s="600">
        <f>+C66</f>
        <v>4693960680</v>
      </c>
      <c r="I35" s="507">
        <f>+H35/$H$51</f>
        <v>4.4923025137177205E-2</v>
      </c>
      <c r="J35" s="585">
        <v>4498309300</v>
      </c>
      <c r="K35" s="586">
        <f>+B35-J35</f>
        <v>122510100</v>
      </c>
      <c r="L35" s="678">
        <f t="shared" si="0"/>
        <v>2.7234699045705905E-2</v>
      </c>
    </row>
    <row r="36" spans="1:12">
      <c r="A36" s="508" t="s">
        <v>811</v>
      </c>
      <c r="B36" s="509">
        <v>522728600</v>
      </c>
      <c r="C36" s="504"/>
      <c r="D36" s="516">
        <v>577</v>
      </c>
      <c r="E36" s="501">
        <f>+B36/D36</f>
        <v>905942.11438474874</v>
      </c>
      <c r="F36" s="37"/>
      <c r="G36" s="510">
        <f>B36*$H$35/$B$35</f>
        <v>531002682.05925727</v>
      </c>
      <c r="H36" s="139"/>
      <c r="I36" s="512"/>
      <c r="J36" s="585">
        <v>381654600</v>
      </c>
      <c r="K36" s="586">
        <f>+B36-J36</f>
        <v>141074000</v>
      </c>
      <c r="L36" s="678">
        <f t="shared" si="0"/>
        <v>0.36963788724150054</v>
      </c>
    </row>
    <row r="37" spans="1:12">
      <c r="A37" s="508" t="s">
        <v>809</v>
      </c>
      <c r="B37" s="509">
        <v>1778671000</v>
      </c>
      <c r="C37" s="504"/>
      <c r="D37" s="516">
        <v>7728</v>
      </c>
      <c r="E37" s="501">
        <f>+B37/D37</f>
        <v>230159.29089026916</v>
      </c>
      <c r="F37" s="37"/>
      <c r="G37" s="510">
        <f>B37*$H$35/$B$35</f>
        <v>1806824940.3247137</v>
      </c>
      <c r="H37" s="139"/>
      <c r="I37" s="512"/>
      <c r="J37" s="585">
        <v>1864392500</v>
      </c>
      <c r="K37" s="586">
        <f>+B37-J37</f>
        <v>-85721500</v>
      </c>
      <c r="L37" s="678">
        <f t="shared" si="0"/>
        <v>-4.5978247606123714E-2</v>
      </c>
    </row>
    <row r="38" spans="1:12">
      <c r="A38" s="508" t="s">
        <v>812</v>
      </c>
      <c r="B38" s="509">
        <v>2319419800</v>
      </c>
      <c r="C38" s="494"/>
      <c r="D38" s="516">
        <v>3914</v>
      </c>
      <c r="E38" s="501">
        <f>+B38/D38</f>
        <v>592595.75881451205</v>
      </c>
      <c r="F38" s="37"/>
      <c r="G38" s="510">
        <f>B38*$H$35/$B$35</f>
        <v>2356133057.6160288</v>
      </c>
      <c r="H38" s="139"/>
      <c r="I38" s="512"/>
      <c r="J38" s="585">
        <v>2252262200</v>
      </c>
      <c r="K38" s="586">
        <f>+B38-J38</f>
        <v>67157600</v>
      </c>
      <c r="L38" s="678">
        <f t="shared" si="0"/>
        <v>2.981784270055236E-2</v>
      </c>
    </row>
    <row r="39" spans="1:12">
      <c r="A39" s="508"/>
      <c r="B39" s="674"/>
      <c r="C39" s="494"/>
      <c r="D39" s="676"/>
      <c r="E39" s="501"/>
      <c r="F39" s="37"/>
      <c r="G39" s="510"/>
      <c r="H39" s="139"/>
      <c r="I39" s="512"/>
      <c r="J39" s="587"/>
      <c r="K39" s="589"/>
    </row>
    <row r="40" spans="1:12">
      <c r="A40" s="502" t="s">
        <v>813</v>
      </c>
      <c r="B40" s="503">
        <v>2113042300</v>
      </c>
      <c r="C40" s="504">
        <f>+B41+B42+B43-B40</f>
        <v>0</v>
      </c>
      <c r="D40" s="501">
        <v>4486</v>
      </c>
      <c r="E40" s="501"/>
      <c r="F40" s="37"/>
      <c r="G40" s="506">
        <f>SUM(G41:G43)</f>
        <v>2172303463</v>
      </c>
      <c r="H40" s="600">
        <f>+C67</f>
        <v>2172303463</v>
      </c>
      <c r="I40" s="507">
        <f>+H40/$H$51</f>
        <v>2.078978707463866E-2</v>
      </c>
      <c r="J40" s="585">
        <v>1969030100</v>
      </c>
      <c r="K40" s="586">
        <f>+B40-J40</f>
        <v>144012200</v>
      </c>
      <c r="L40" s="678">
        <f t="shared" si="0"/>
        <v>7.3138648312181712E-2</v>
      </c>
    </row>
    <row r="41" spans="1:12">
      <c r="A41" s="508" t="s">
        <v>811</v>
      </c>
      <c r="B41" s="509">
        <v>91671500</v>
      </c>
      <c r="C41" s="504"/>
      <c r="D41" s="516">
        <v>226</v>
      </c>
      <c r="E41" s="501">
        <f>+B41/D41</f>
        <v>405626.10619469028</v>
      </c>
      <c r="F41" s="37"/>
      <c r="G41" s="510">
        <f>B41*$H$40/$B$40</f>
        <v>94242465.90255411</v>
      </c>
      <c r="H41" s="139"/>
      <c r="I41" s="512"/>
      <c r="J41" s="585">
        <v>94623500</v>
      </c>
      <c r="K41" s="586">
        <f>+B41-J41</f>
        <v>-2952000</v>
      </c>
      <c r="L41" s="678">
        <f t="shared" si="0"/>
        <v>-3.1197324131954536E-2</v>
      </c>
    </row>
    <row r="42" spans="1:12">
      <c r="A42" s="508" t="s">
        <v>809</v>
      </c>
      <c r="B42" s="509">
        <v>570445600</v>
      </c>
      <c r="C42" s="504"/>
      <c r="D42" s="516">
        <v>2209</v>
      </c>
      <c r="E42" s="501">
        <f>+B42/D42</f>
        <v>258237.03033046628</v>
      </c>
      <c r="F42" s="37"/>
      <c r="G42" s="510">
        <f>B42*$H$40/$B$40</f>
        <v>586443987.57805884</v>
      </c>
      <c r="H42" s="139"/>
      <c r="I42" s="512"/>
      <c r="J42" s="585">
        <v>522980100</v>
      </c>
      <c r="K42" s="586">
        <f>+B42-J42</f>
        <v>47465500</v>
      </c>
      <c r="L42" s="678">
        <f t="shared" si="0"/>
        <v>9.0759667528458543E-2</v>
      </c>
    </row>
    <row r="43" spans="1:12">
      <c r="A43" s="508" t="s">
        <v>812</v>
      </c>
      <c r="B43" s="509">
        <v>1450925200</v>
      </c>
      <c r="C43" s="494"/>
      <c r="D43" s="516">
        <v>2051</v>
      </c>
      <c r="E43" s="501">
        <f>+B43/D43</f>
        <v>707423.3057045344</v>
      </c>
      <c r="F43" s="37"/>
      <c r="G43" s="510">
        <f>B43*$H$40/$B$40</f>
        <v>1491617009.519387</v>
      </c>
      <c r="H43" s="139"/>
      <c r="I43" s="512"/>
      <c r="J43" s="585">
        <v>1351426500</v>
      </c>
      <c r="K43" s="586">
        <f>+B43-J43</f>
        <v>99498700</v>
      </c>
      <c r="L43" s="678">
        <f t="shared" si="0"/>
        <v>7.3624943716879901E-2</v>
      </c>
    </row>
    <row r="44" spans="1:12">
      <c r="A44" s="515"/>
      <c r="B44" s="675"/>
      <c r="C44" s="494"/>
      <c r="D44" s="676"/>
      <c r="E44" s="501"/>
      <c r="F44" s="37"/>
      <c r="G44" s="510"/>
      <c r="H44" s="139"/>
      <c r="I44" s="139"/>
      <c r="J44" s="587"/>
      <c r="K44" s="590"/>
    </row>
    <row r="45" spans="1:12">
      <c r="A45" s="502" t="s">
        <v>814</v>
      </c>
      <c r="B45" s="503">
        <v>3500289200</v>
      </c>
      <c r="C45" s="504">
        <f>+B46+B47+B48-B45</f>
        <v>0</v>
      </c>
      <c r="D45" s="501">
        <v>6582</v>
      </c>
      <c r="E45" s="501"/>
      <c r="F45" s="37"/>
      <c r="G45" s="506">
        <f>SUM(G46:G48)</f>
        <v>3504216636</v>
      </c>
      <c r="H45" s="600">
        <f>+C68</f>
        <v>3504216636</v>
      </c>
      <c r="I45" s="507">
        <f>+H45/$H$51</f>
        <v>3.3536712971601317E-2</v>
      </c>
      <c r="J45" s="585">
        <v>3266675700</v>
      </c>
      <c r="K45" s="586">
        <f>+B45-J45</f>
        <v>233613500</v>
      </c>
      <c r="L45" s="678">
        <f t="shared" si="0"/>
        <v>7.1514138976207522E-2</v>
      </c>
    </row>
    <row r="46" spans="1:12">
      <c r="A46" s="508" t="s">
        <v>811</v>
      </c>
      <c r="B46" s="516">
        <v>185410800</v>
      </c>
      <c r="C46" s="504"/>
      <c r="D46" s="516">
        <v>318</v>
      </c>
      <c r="E46" s="501">
        <f>+B46/D46</f>
        <v>583052.83018867928</v>
      </c>
      <c r="F46" s="37"/>
      <c r="G46" s="510">
        <f>B46*$H$45/$B$45</f>
        <v>185618836.82470259</v>
      </c>
      <c r="H46" s="139"/>
      <c r="I46" s="495"/>
      <c r="J46" s="585">
        <v>166071100</v>
      </c>
      <c r="K46" s="586">
        <f>+B46-J46</f>
        <v>19339700</v>
      </c>
      <c r="L46" s="678">
        <f t="shared" si="0"/>
        <v>0.11645433793116322</v>
      </c>
    </row>
    <row r="47" spans="1:12">
      <c r="A47" s="508" t="s">
        <v>809</v>
      </c>
      <c r="B47" s="516">
        <v>828307700</v>
      </c>
      <c r="C47" s="504"/>
      <c r="D47" s="516">
        <v>3040</v>
      </c>
      <c r="E47" s="501">
        <f>+B47/D47</f>
        <v>272469.63815789472</v>
      </c>
      <c r="F47" s="37"/>
      <c r="G47" s="510">
        <f>B47*$H$45/$B$45</f>
        <v>829237087.62890148</v>
      </c>
      <c r="H47" s="139"/>
      <c r="I47" s="495"/>
      <c r="J47" s="585">
        <v>804146300</v>
      </c>
      <c r="K47" s="586">
        <f>+B47-J47</f>
        <v>24161400</v>
      </c>
      <c r="L47" s="678">
        <f t="shared" si="0"/>
        <v>3.0046025207104726E-2</v>
      </c>
    </row>
    <row r="48" spans="1:12">
      <c r="A48" s="508" t="s">
        <v>812</v>
      </c>
      <c r="B48" s="509">
        <v>2486570700</v>
      </c>
      <c r="C48" s="494"/>
      <c r="D48" s="516">
        <v>3224</v>
      </c>
      <c r="E48" s="501">
        <f>+B48/D48</f>
        <v>771268.82754342433</v>
      </c>
      <c r="F48" s="37"/>
      <c r="G48" s="510">
        <f>B48*$H$45/$B$45</f>
        <v>2489360711.5463958</v>
      </c>
      <c r="H48" s="139"/>
      <c r="I48" s="495"/>
      <c r="J48" s="585">
        <v>2296458300</v>
      </c>
      <c r="K48" s="586">
        <f>+B48-J48</f>
        <v>190112400</v>
      </c>
      <c r="L48" s="678">
        <f t="shared" si="0"/>
        <v>8.2785043386156845E-2</v>
      </c>
    </row>
    <row r="49" spans="1:12">
      <c r="A49" s="502"/>
      <c r="B49" s="674"/>
      <c r="C49" s="494"/>
      <c r="D49" s="676"/>
      <c r="E49" s="501"/>
      <c r="F49" s="37"/>
      <c r="G49" s="510"/>
      <c r="H49" s="139"/>
      <c r="I49" s="495"/>
      <c r="J49" s="583"/>
      <c r="K49" s="584"/>
    </row>
    <row r="50" spans="1:12">
      <c r="A50" s="502" t="s">
        <v>815</v>
      </c>
      <c r="B50" s="517">
        <v>6936500</v>
      </c>
      <c r="C50" s="494"/>
      <c r="D50" s="516">
        <v>11</v>
      </c>
      <c r="E50" s="501">
        <f>+B50/D50</f>
        <v>630590.90909090906</v>
      </c>
      <c r="F50" s="37"/>
      <c r="G50" s="510">
        <f>+H50</f>
        <v>6936500</v>
      </c>
      <c r="H50" s="600">
        <f>+C69</f>
        <v>6936500</v>
      </c>
      <c r="I50" s="507">
        <f>+H50/$H$51</f>
        <v>6.6384996617404495E-5</v>
      </c>
      <c r="J50" s="585">
        <v>6276050</v>
      </c>
      <c r="K50" s="586">
        <f>+B50-J50</f>
        <v>660450</v>
      </c>
      <c r="L50" s="678">
        <f t="shared" si="0"/>
        <v>0.10523338724197545</v>
      </c>
    </row>
    <row r="51" spans="1:12" ht="13.5" thickBot="1">
      <c r="A51" s="518" t="s">
        <v>816</v>
      </c>
      <c r="B51" s="519">
        <f>+B50+B45+B40+B35+B30+B25+B20+B15+B9</f>
        <v>99668899532</v>
      </c>
      <c r="C51" s="520">
        <f>+C50+C45+C40+C35+C30+C25+C20+C15+C9</f>
        <v>0</v>
      </c>
      <c r="D51" s="521">
        <f>+D50+D45+D40+D35+D30+D25+D20+D15+D9</f>
        <v>196239</v>
      </c>
      <c r="E51" s="522">
        <f>+B51/D51</f>
        <v>507895.47201117006</v>
      </c>
      <c r="F51" s="37"/>
      <c r="G51" s="520">
        <f>+G50+G45+G40+G35+G30+G25+G20+G15+G9</f>
        <v>104488971205</v>
      </c>
      <c r="H51" s="520">
        <f>+H50+H45+H40+H35+H30+H25+H20+H15+H9</f>
        <v>104488971205</v>
      </c>
      <c r="I51" s="507">
        <f>+H51/$H$51</f>
        <v>1</v>
      </c>
      <c r="J51" s="585">
        <v>98596776432</v>
      </c>
      <c r="K51" s="586">
        <f>+B51-J51</f>
        <v>1072123100</v>
      </c>
      <c r="L51" s="678">
        <f t="shared" si="0"/>
        <v>1.0873814933893092E-2</v>
      </c>
    </row>
    <row r="52" spans="1:12">
      <c r="A52" s="515"/>
      <c r="B52" s="494"/>
      <c r="C52" s="494"/>
      <c r="D52" s="494"/>
      <c r="E52" s="501"/>
      <c r="F52" s="37"/>
      <c r="G52" s="506"/>
      <c r="H52" s="141"/>
      <c r="I52" s="495"/>
      <c r="J52" s="583"/>
      <c r="K52" s="584"/>
    </row>
    <row r="53" spans="1:12">
      <c r="A53" s="523" t="s">
        <v>504</v>
      </c>
      <c r="B53" s="503">
        <v>99668899532</v>
      </c>
      <c r="C53" s="524">
        <v>0</v>
      </c>
      <c r="D53" s="503">
        <v>196239</v>
      </c>
      <c r="E53" s="503">
        <v>507895.47201117006</v>
      </c>
      <c r="F53" s="37"/>
      <c r="G53" s="525"/>
      <c r="H53" s="525"/>
      <c r="I53" s="495"/>
      <c r="J53" s="583"/>
      <c r="K53" s="584"/>
    </row>
    <row r="54" spans="1:12">
      <c r="A54" s="595" t="s">
        <v>697</v>
      </c>
      <c r="B54" s="596">
        <f>B51-B53</f>
        <v>0</v>
      </c>
      <c r="C54" s="597"/>
      <c r="D54" s="596">
        <f>D51-D53</f>
        <v>0</v>
      </c>
      <c r="E54" s="596">
        <f>E51-E53</f>
        <v>0</v>
      </c>
      <c r="F54" s="501"/>
      <c r="G54" s="501"/>
      <c r="H54" s="501"/>
      <c r="I54" s="501"/>
      <c r="J54" s="501"/>
      <c r="K54" s="584"/>
    </row>
    <row r="55" spans="1:12">
      <c r="A55" s="515"/>
      <c r="B55" s="494"/>
      <c r="C55" s="494"/>
      <c r="D55" s="494"/>
      <c r="E55" s="501"/>
      <c r="F55" s="37"/>
      <c r="G55" s="525"/>
      <c r="H55" s="142"/>
      <c r="I55" s="495"/>
      <c r="J55" s="583"/>
      <c r="K55" s="584"/>
    </row>
    <row r="56" spans="1:12">
      <c r="A56" s="526"/>
      <c r="B56" s="527"/>
      <c r="C56" s="527"/>
      <c r="D56" s="527"/>
      <c r="E56" s="528"/>
      <c r="F56" s="527"/>
      <c r="G56" s="529"/>
      <c r="H56" s="499"/>
      <c r="I56" s="499"/>
      <c r="J56" s="591"/>
      <c r="K56" s="592"/>
    </row>
    <row r="57" spans="1:12">
      <c r="A57" s="530"/>
      <c r="B57" s="530"/>
      <c r="C57" s="530"/>
      <c r="D57" s="530"/>
      <c r="E57" s="531"/>
      <c r="F57" s="530"/>
      <c r="G57" s="495"/>
      <c r="H57" s="495"/>
      <c r="I57" s="530"/>
      <c r="J57" s="593"/>
      <c r="K57" s="593"/>
    </row>
    <row r="58" spans="1:12">
      <c r="A58" s="532" t="s">
        <v>913</v>
      </c>
      <c r="B58" s="530"/>
      <c r="C58" s="530"/>
      <c r="D58" s="530"/>
      <c r="E58" s="531"/>
      <c r="F58" s="530"/>
      <c r="G58" s="495"/>
      <c r="H58" s="495"/>
      <c r="I58" s="530"/>
      <c r="J58" s="593"/>
      <c r="K58" s="593"/>
    </row>
    <row r="59" spans="1:12" ht="39" customHeight="1">
      <c r="A59" s="530"/>
      <c r="B59" s="546" t="s">
        <v>915</v>
      </c>
      <c r="C59" s="546" t="s">
        <v>1233</v>
      </c>
      <c r="D59" s="533"/>
      <c r="E59" s="531"/>
      <c r="F59" s="530"/>
      <c r="G59" s="495"/>
      <c r="H59" s="495"/>
      <c r="I59" s="530"/>
      <c r="J59" s="593"/>
      <c r="K59" s="593"/>
    </row>
    <row r="60" spans="1:12">
      <c r="A60" s="530"/>
      <c r="B60" s="547">
        <v>41883</v>
      </c>
      <c r="C60" s="547">
        <v>41883</v>
      </c>
      <c r="D60" s="498" t="s">
        <v>916</v>
      </c>
      <c r="E60" s="531"/>
      <c r="F60" s="530"/>
      <c r="G60" s="530"/>
      <c r="H60" s="495"/>
      <c r="I60" s="530"/>
      <c r="J60" s="593"/>
      <c r="K60" s="593"/>
    </row>
    <row r="61" spans="1:12">
      <c r="A61" s="535" t="s">
        <v>799</v>
      </c>
      <c r="B61" s="545">
        <v>76401</v>
      </c>
      <c r="C61" s="545">
        <v>50999224059</v>
      </c>
      <c r="D61" s="536">
        <f t="shared" ref="D61:D69" si="1">+C61/$C$70</f>
        <v>0.48808236382137515</v>
      </c>
      <c r="E61" s="531"/>
      <c r="F61" s="530"/>
      <c r="G61" s="530"/>
      <c r="H61" s="495"/>
      <c r="I61" s="530"/>
      <c r="J61" s="593"/>
      <c r="K61" s="593"/>
    </row>
    <row r="62" spans="1:12">
      <c r="A62" s="535" t="s">
        <v>380</v>
      </c>
      <c r="B62" s="545">
        <v>39448</v>
      </c>
      <c r="C62" s="545">
        <v>17421025464</v>
      </c>
      <c r="D62" s="536">
        <f t="shared" si="1"/>
        <v>0.16672597368980863</v>
      </c>
      <c r="E62" s="531"/>
      <c r="F62" s="530"/>
      <c r="G62" s="530"/>
      <c r="H62" s="495"/>
      <c r="I62" s="530"/>
      <c r="J62" s="593"/>
      <c r="K62" s="593"/>
    </row>
    <row r="63" spans="1:12">
      <c r="A63" s="535" t="s">
        <v>805</v>
      </c>
      <c r="B63" s="545">
        <v>16511</v>
      </c>
      <c r="C63" s="545">
        <v>6850261681</v>
      </c>
      <c r="D63" s="536">
        <f t="shared" si="1"/>
        <v>6.5559662440931393E-2</v>
      </c>
      <c r="E63" s="531"/>
      <c r="F63" s="530"/>
      <c r="G63" s="530"/>
      <c r="H63" s="530"/>
      <c r="I63" s="530"/>
      <c r="J63" s="593"/>
      <c r="K63" s="593"/>
    </row>
    <row r="64" spans="1:12">
      <c r="A64" s="535" t="s">
        <v>369</v>
      </c>
      <c r="B64" s="545">
        <v>18200</v>
      </c>
      <c r="C64" s="545">
        <v>8103339693</v>
      </c>
      <c r="D64" s="536">
        <f t="shared" si="1"/>
        <v>7.7552105256178838E-2</v>
      </c>
      <c r="E64" s="531"/>
      <c r="F64" s="530"/>
      <c r="G64" s="530"/>
      <c r="H64" s="530"/>
      <c r="I64" s="530"/>
      <c r="J64" s="593"/>
      <c r="K64" s="593"/>
    </row>
    <row r="65" spans="1:11">
      <c r="A65" s="535" t="s">
        <v>917</v>
      </c>
      <c r="B65" s="545">
        <v>24377</v>
      </c>
      <c r="C65" s="545">
        <v>10737703029</v>
      </c>
      <c r="D65" s="536">
        <f t="shared" si="1"/>
        <v>0.10276398461167144</v>
      </c>
      <c r="E65" s="531"/>
      <c r="F65" s="530"/>
      <c r="G65" s="530"/>
      <c r="H65" s="530"/>
      <c r="I65" s="530"/>
      <c r="J65" s="593"/>
      <c r="K65" s="593"/>
    </row>
    <row r="66" spans="1:11">
      <c r="A66" s="535" t="s">
        <v>810</v>
      </c>
      <c r="B66" s="545">
        <v>12221</v>
      </c>
      <c r="C66" s="545">
        <v>4693960680</v>
      </c>
      <c r="D66" s="536">
        <f t="shared" si="1"/>
        <v>4.4923025137177205E-2</v>
      </c>
      <c r="E66" s="531"/>
      <c r="F66" s="530"/>
      <c r="G66" s="530"/>
      <c r="H66" s="530"/>
      <c r="I66" s="530"/>
      <c r="J66" s="593"/>
      <c r="K66" s="593"/>
    </row>
    <row r="67" spans="1:11">
      <c r="A67" s="535" t="s">
        <v>813</v>
      </c>
      <c r="B67" s="545">
        <v>4567</v>
      </c>
      <c r="C67" s="545">
        <v>2172303463</v>
      </c>
      <c r="D67" s="536">
        <f t="shared" si="1"/>
        <v>2.078978707463866E-2</v>
      </c>
      <c r="E67" s="531"/>
      <c r="F67" s="530"/>
      <c r="G67" s="530"/>
      <c r="H67" s="530"/>
      <c r="I67" s="530"/>
      <c r="J67" s="593"/>
      <c r="K67" s="593"/>
    </row>
    <row r="68" spans="1:11">
      <c r="A68" s="535" t="s">
        <v>918</v>
      </c>
      <c r="B68" s="545">
        <v>6552</v>
      </c>
      <c r="C68" s="545">
        <v>3504216636</v>
      </c>
      <c r="D68" s="536">
        <f t="shared" si="1"/>
        <v>3.3536712971601317E-2</v>
      </c>
      <c r="E68" s="531"/>
      <c r="F68" s="530"/>
      <c r="G68" s="530"/>
      <c r="H68" s="530"/>
      <c r="I68" s="530"/>
      <c r="J68" s="593"/>
      <c r="K68" s="593"/>
    </row>
    <row r="69" spans="1:11">
      <c r="A69" s="535" t="s">
        <v>815</v>
      </c>
      <c r="B69" s="545">
        <v>11</v>
      </c>
      <c r="C69" s="545">
        <v>6936500</v>
      </c>
      <c r="D69" s="536">
        <f t="shared" si="1"/>
        <v>6.6384996617404495E-5</v>
      </c>
      <c r="E69" s="531"/>
      <c r="F69" s="530"/>
      <c r="G69" s="530"/>
      <c r="H69" s="530"/>
      <c r="I69" s="530"/>
      <c r="J69" s="593"/>
      <c r="K69" s="593"/>
    </row>
    <row r="70" spans="1:11" ht="13.5" thickBot="1">
      <c r="A70" s="530"/>
      <c r="B70" s="537">
        <f>SUM(B61:B69)</f>
        <v>198288</v>
      </c>
      <c r="C70" s="537">
        <f>SUM(C61:C69)</f>
        <v>104488971205</v>
      </c>
      <c r="D70" s="538">
        <f>SUM(D61:D69)</f>
        <v>0.99999999999999989</v>
      </c>
      <c r="E70" s="531"/>
      <c r="F70" s="530"/>
      <c r="G70" s="530"/>
      <c r="H70" s="530"/>
      <c r="I70" s="530"/>
      <c r="J70" s="593"/>
      <c r="K70" s="593"/>
    </row>
    <row r="71" spans="1:11">
      <c r="A71" s="530"/>
      <c r="D71" s="530"/>
      <c r="E71" s="531"/>
      <c r="F71" s="530"/>
      <c r="G71" s="530"/>
      <c r="H71" s="530"/>
      <c r="I71" s="530"/>
      <c r="J71" s="593"/>
      <c r="K71" s="593"/>
    </row>
    <row r="72" spans="1:11">
      <c r="A72" s="523" t="s">
        <v>504</v>
      </c>
      <c r="B72" s="503">
        <v>198288</v>
      </c>
      <c r="C72" s="503">
        <v>104488971205</v>
      </c>
      <c r="D72" s="530"/>
      <c r="E72" s="530"/>
      <c r="F72" s="530"/>
      <c r="G72" s="530"/>
      <c r="H72" s="530"/>
      <c r="I72" s="530"/>
      <c r="J72" s="530"/>
      <c r="K72" s="530"/>
    </row>
    <row r="73" spans="1:11">
      <c r="A73" s="595" t="s">
        <v>697</v>
      </c>
      <c r="B73" s="596">
        <f>B70-B72</f>
        <v>0</v>
      </c>
      <c r="C73" s="596">
        <f>C70-C72</f>
        <v>0</v>
      </c>
      <c r="D73" s="530"/>
      <c r="E73" s="530"/>
      <c r="F73" s="530"/>
      <c r="G73" s="530"/>
      <c r="H73" s="530"/>
      <c r="I73" s="530"/>
      <c r="J73" s="530"/>
      <c r="K73" s="530"/>
    </row>
  </sheetData>
  <mergeCells count="4">
    <mergeCell ref="H5:H6"/>
    <mergeCell ref="D5:D6"/>
    <mergeCell ref="E5:E6"/>
    <mergeCell ref="G5:G6"/>
  </mergeCells>
  <phoneticPr fontId="9" type="noConversion"/>
  <pageMargins left="0.38" right="0.25" top="0.39" bottom="0.53" header="0.26" footer="0.28999999999999998"/>
  <pageSetup paperSize="8" orientation="landscape" r:id="rId1"/>
  <headerFooter alignWithMargins="0">
    <oddFooter>&amp;L&amp;D &amp;T&amp;R&amp;Z&amp;F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6" tint="0.59999389629810485"/>
    <pageSetUpPr fitToPage="1"/>
  </sheetPr>
  <dimension ref="A1:G347"/>
  <sheetViews>
    <sheetView workbookViewId="0">
      <pane xSplit="2" ySplit="3" topLeftCell="C52" activePane="bottomRight" state="frozen"/>
      <selection activeCell="I26" sqref="I26"/>
      <selection pane="topRight" activeCell="I26" sqref="I26"/>
      <selection pane="bottomLeft" activeCell="I26" sqref="I26"/>
      <selection pane="bottomRight" activeCell="C63" sqref="C63:C69"/>
    </sheetView>
  </sheetViews>
  <sheetFormatPr defaultColWidth="9.140625" defaultRowHeight="12.75" outlineLevelRow="1"/>
  <cols>
    <col min="1" max="1" width="16.28515625" style="1" bestFit="1" customWidth="1"/>
    <col min="2" max="2" width="42.140625" style="1" customWidth="1"/>
    <col min="3" max="3" width="14.7109375" style="635" customWidth="1"/>
    <col min="4" max="4" width="11.5703125" style="635" customWidth="1"/>
    <col min="5" max="5" width="13.140625" style="635" customWidth="1"/>
    <col min="6" max="16384" width="9.140625" style="1"/>
  </cols>
  <sheetData>
    <row r="1" spans="1:5" ht="22.5">
      <c r="A1" s="39"/>
      <c r="B1" s="39"/>
      <c r="C1" s="679" t="s">
        <v>544</v>
      </c>
      <c r="D1" s="679" t="s">
        <v>544</v>
      </c>
      <c r="E1" s="679" t="s">
        <v>544</v>
      </c>
    </row>
    <row r="2" spans="1:5">
      <c r="A2" s="39"/>
      <c r="B2" s="39"/>
      <c r="C2" s="688" t="s">
        <v>1167</v>
      </c>
      <c r="D2" s="688" t="s">
        <v>1167</v>
      </c>
      <c r="E2" s="688" t="s">
        <v>1167</v>
      </c>
    </row>
    <row r="3" spans="1:5" s="32" customFormat="1" ht="33.75">
      <c r="A3" s="40"/>
      <c r="B3" s="40"/>
      <c r="C3" s="680" t="s">
        <v>545</v>
      </c>
      <c r="D3" s="680" t="s">
        <v>548</v>
      </c>
      <c r="E3" s="680" t="s">
        <v>547</v>
      </c>
    </row>
    <row r="4" spans="1:5">
      <c r="A4" s="732" t="s">
        <v>479</v>
      </c>
      <c r="B4" s="31" t="s">
        <v>480</v>
      </c>
      <c r="C4" s="635">
        <v>88486.540799999988</v>
      </c>
      <c r="D4" s="636">
        <v>184346.96</v>
      </c>
      <c r="E4" s="635">
        <v>95860.419200000004</v>
      </c>
    </row>
    <row r="5" spans="1:5">
      <c r="A5" s="732" t="s">
        <v>481</v>
      </c>
      <c r="B5" s="31" t="s">
        <v>482</v>
      </c>
      <c r="C5" s="635">
        <v>0</v>
      </c>
      <c r="D5" s="636">
        <v>0</v>
      </c>
      <c r="E5" s="635">
        <v>0</v>
      </c>
    </row>
    <row r="6" spans="1:5">
      <c r="A6" s="732" t="s">
        <v>485</v>
      </c>
      <c r="B6" s="31" t="s">
        <v>486</v>
      </c>
      <c r="C6" s="635">
        <v>0</v>
      </c>
      <c r="D6" s="636">
        <v>0</v>
      </c>
      <c r="E6" s="635">
        <v>0</v>
      </c>
    </row>
    <row r="7" spans="1:5">
      <c r="A7" s="732" t="s">
        <v>487</v>
      </c>
      <c r="B7" s="31" t="s">
        <v>488</v>
      </c>
      <c r="C7" s="635">
        <v>0</v>
      </c>
      <c r="D7" s="636">
        <v>0</v>
      </c>
      <c r="E7" s="635">
        <v>0</v>
      </c>
    </row>
    <row r="8" spans="1:5">
      <c r="A8" s="732" t="s">
        <v>830</v>
      </c>
      <c r="B8" s="31" t="s">
        <v>649</v>
      </c>
      <c r="C8" s="635">
        <v>3767586.7727999985</v>
      </c>
      <c r="D8" s="636">
        <v>7849139.1099999975</v>
      </c>
      <c r="E8" s="635">
        <v>4081552.337199999</v>
      </c>
    </row>
    <row r="9" spans="1:5">
      <c r="A9" s="732" t="s">
        <v>248</v>
      </c>
      <c r="B9" s="31" t="s">
        <v>658</v>
      </c>
      <c r="C9" s="635">
        <v>0</v>
      </c>
      <c r="D9" s="636">
        <v>0</v>
      </c>
      <c r="E9" s="635">
        <v>0</v>
      </c>
    </row>
    <row r="10" spans="1:5">
      <c r="A10" s="732" t="s">
        <v>833</v>
      </c>
      <c r="B10" s="31" t="s">
        <v>672</v>
      </c>
      <c r="C10" s="635">
        <v>175104</v>
      </c>
      <c r="D10" s="636">
        <v>364800</v>
      </c>
      <c r="E10" s="635">
        <v>189696</v>
      </c>
    </row>
    <row r="11" spans="1:5">
      <c r="A11" s="732" t="s">
        <v>495</v>
      </c>
      <c r="B11" s="31" t="s">
        <v>507</v>
      </c>
      <c r="C11" s="635">
        <v>0</v>
      </c>
      <c r="D11" s="636">
        <v>0</v>
      </c>
      <c r="E11" s="635">
        <v>0</v>
      </c>
    </row>
    <row r="12" spans="1:5">
      <c r="A12" s="732" t="s">
        <v>838</v>
      </c>
      <c r="B12" s="31" t="s">
        <v>659</v>
      </c>
      <c r="C12" s="635">
        <v>1276461.5153769143</v>
      </c>
      <c r="D12" s="636">
        <v>2659294.8237019051</v>
      </c>
      <c r="E12" s="635">
        <v>1382833.3083249908</v>
      </c>
    </row>
    <row r="13" spans="1:5">
      <c r="A13" s="732" t="s">
        <v>249</v>
      </c>
      <c r="B13" s="31" t="s">
        <v>660</v>
      </c>
      <c r="C13" s="635">
        <v>0</v>
      </c>
      <c r="D13" s="636">
        <v>0</v>
      </c>
      <c r="E13" s="635">
        <v>0</v>
      </c>
    </row>
    <row r="14" spans="1:5">
      <c r="A14" s="732" t="s">
        <v>841</v>
      </c>
      <c r="B14" s="31" t="s">
        <v>673</v>
      </c>
      <c r="C14" s="635">
        <v>42624</v>
      </c>
      <c r="D14" s="636">
        <v>88800</v>
      </c>
      <c r="E14" s="635">
        <v>46176</v>
      </c>
    </row>
    <row r="15" spans="1:5">
      <c r="A15" s="732" t="s">
        <v>508</v>
      </c>
      <c r="B15" s="31" t="s">
        <v>509</v>
      </c>
      <c r="C15" s="635">
        <v>0</v>
      </c>
      <c r="D15" s="636">
        <v>0</v>
      </c>
      <c r="E15" s="635">
        <v>0</v>
      </c>
    </row>
    <row r="16" spans="1:5">
      <c r="A16" s="732" t="s">
        <v>510</v>
      </c>
      <c r="B16" s="31" t="s">
        <v>511</v>
      </c>
      <c r="C16" s="635">
        <v>0</v>
      </c>
      <c r="D16" s="636">
        <v>0</v>
      </c>
      <c r="E16" s="635">
        <v>0</v>
      </c>
    </row>
    <row r="17" spans="1:5">
      <c r="A17" s="732" t="s">
        <v>842</v>
      </c>
      <c r="B17" s="31" t="s">
        <v>661</v>
      </c>
      <c r="C17" s="635">
        <v>1329725.8656000001</v>
      </c>
      <c r="D17" s="636">
        <v>2770262.22</v>
      </c>
      <c r="E17" s="635">
        <v>1440536.3544000001</v>
      </c>
    </row>
    <row r="18" spans="1:5">
      <c r="A18" s="732" t="s">
        <v>845</v>
      </c>
      <c r="B18" s="31" t="s">
        <v>674</v>
      </c>
      <c r="C18" s="635">
        <v>46656</v>
      </c>
      <c r="D18" s="636">
        <v>97200</v>
      </c>
      <c r="E18" s="635">
        <v>50544</v>
      </c>
    </row>
    <row r="19" spans="1:5">
      <c r="A19" s="732" t="s">
        <v>250</v>
      </c>
      <c r="B19" s="31" t="s">
        <v>662</v>
      </c>
      <c r="C19" s="635">
        <v>0</v>
      </c>
      <c r="D19" s="636">
        <v>0</v>
      </c>
      <c r="E19" s="635">
        <v>0</v>
      </c>
    </row>
    <row r="20" spans="1:5">
      <c r="A20" s="732" t="s">
        <v>512</v>
      </c>
      <c r="B20" s="31" t="s">
        <v>513</v>
      </c>
      <c r="C20" s="635">
        <v>0</v>
      </c>
      <c r="D20" s="636">
        <v>0</v>
      </c>
      <c r="E20" s="635">
        <v>0</v>
      </c>
    </row>
    <row r="21" spans="1:5">
      <c r="A21" s="732" t="s">
        <v>514</v>
      </c>
      <c r="B21" s="31" t="s">
        <v>515</v>
      </c>
      <c r="C21" s="635">
        <v>0</v>
      </c>
      <c r="D21" s="636">
        <v>0</v>
      </c>
      <c r="E21" s="635">
        <v>0</v>
      </c>
    </row>
    <row r="22" spans="1:5">
      <c r="A22" s="732" t="s">
        <v>846</v>
      </c>
      <c r="B22" s="31" t="s">
        <v>663</v>
      </c>
      <c r="C22" s="635">
        <v>688546.49791772605</v>
      </c>
      <c r="D22" s="636">
        <v>1434471.8706619292</v>
      </c>
      <c r="E22" s="635">
        <v>745925.3727442032</v>
      </c>
    </row>
    <row r="23" spans="1:5">
      <c r="A23" s="732" t="s">
        <v>551</v>
      </c>
      <c r="B23" s="31" t="s">
        <v>552</v>
      </c>
      <c r="C23" s="635">
        <v>44640</v>
      </c>
      <c r="D23" s="636">
        <v>93000</v>
      </c>
      <c r="E23" s="635">
        <v>48360</v>
      </c>
    </row>
    <row r="24" spans="1:5">
      <c r="A24" s="732" t="s">
        <v>847</v>
      </c>
      <c r="B24" s="31" t="s">
        <v>664</v>
      </c>
      <c r="C24" s="635">
        <v>0</v>
      </c>
      <c r="D24" s="636">
        <v>0</v>
      </c>
      <c r="E24" s="635">
        <v>0</v>
      </c>
    </row>
    <row r="25" spans="1:5">
      <c r="A25" s="732" t="s">
        <v>850</v>
      </c>
      <c r="B25" s="31" t="s">
        <v>675</v>
      </c>
      <c r="C25" s="635">
        <v>12096</v>
      </c>
      <c r="D25" s="636">
        <v>25200</v>
      </c>
      <c r="E25" s="635">
        <v>13104</v>
      </c>
    </row>
    <row r="26" spans="1:5">
      <c r="A26" s="732" t="s">
        <v>99</v>
      </c>
      <c r="B26" s="31" t="s">
        <v>100</v>
      </c>
      <c r="C26" s="635">
        <v>-1440</v>
      </c>
      <c r="D26" s="636">
        <v>-3000</v>
      </c>
      <c r="E26" s="635">
        <v>-1560</v>
      </c>
    </row>
    <row r="27" spans="1:5">
      <c r="A27" s="732" t="s">
        <v>516</v>
      </c>
      <c r="B27" s="31" t="s">
        <v>517</v>
      </c>
      <c r="C27" s="635">
        <v>0</v>
      </c>
      <c r="D27" s="636">
        <v>0</v>
      </c>
      <c r="E27" s="635">
        <v>0</v>
      </c>
    </row>
    <row r="28" spans="1:5">
      <c r="A28" s="732" t="s">
        <v>518</v>
      </c>
      <c r="B28" s="31" t="s">
        <v>519</v>
      </c>
      <c r="C28" s="635">
        <v>0</v>
      </c>
      <c r="D28" s="636">
        <v>0</v>
      </c>
      <c r="E28" s="635">
        <v>0</v>
      </c>
    </row>
    <row r="29" spans="1:5">
      <c r="A29" s="732" t="s">
        <v>398</v>
      </c>
      <c r="B29" s="663" t="s">
        <v>399</v>
      </c>
      <c r="C29" s="635">
        <v>0</v>
      </c>
      <c r="D29" s="636">
        <v>0</v>
      </c>
      <c r="E29" s="635">
        <v>0</v>
      </c>
    </row>
    <row r="30" spans="1:5">
      <c r="A30" s="732" t="s">
        <v>851</v>
      </c>
      <c r="B30" s="31" t="s">
        <v>665</v>
      </c>
      <c r="C30" s="635">
        <v>213071.02079999997</v>
      </c>
      <c r="D30" s="636">
        <v>443897.95999999996</v>
      </c>
      <c r="E30" s="635">
        <v>230826.93919999999</v>
      </c>
    </row>
    <row r="31" spans="1:5">
      <c r="A31" s="732" t="s">
        <v>553</v>
      </c>
      <c r="B31" s="31" t="s">
        <v>554</v>
      </c>
      <c r="C31" s="635">
        <v>0</v>
      </c>
      <c r="D31" s="636">
        <v>0</v>
      </c>
      <c r="E31" s="635">
        <v>0</v>
      </c>
    </row>
    <row r="32" spans="1:5">
      <c r="A32" s="732" t="s">
        <v>501</v>
      </c>
      <c r="B32" s="31" t="s">
        <v>1169</v>
      </c>
      <c r="C32" s="635">
        <v>-4320</v>
      </c>
      <c r="D32" s="636">
        <v>-9000</v>
      </c>
      <c r="E32" s="635">
        <v>-4680</v>
      </c>
    </row>
    <row r="33" spans="1:5">
      <c r="A33" s="732" t="s">
        <v>854</v>
      </c>
      <c r="B33" s="31" t="s">
        <v>676</v>
      </c>
      <c r="C33" s="635">
        <v>0</v>
      </c>
      <c r="D33" s="636">
        <v>0</v>
      </c>
      <c r="E33" s="635">
        <v>0</v>
      </c>
    </row>
    <row r="34" spans="1:5">
      <c r="A34" s="732" t="s">
        <v>520</v>
      </c>
      <c r="B34" s="31" t="s">
        <v>521</v>
      </c>
      <c r="C34" s="635">
        <v>0</v>
      </c>
      <c r="D34" s="636">
        <v>0</v>
      </c>
      <c r="E34" s="635">
        <v>0</v>
      </c>
    </row>
    <row r="35" spans="1:5">
      <c r="A35" s="732" t="s">
        <v>522</v>
      </c>
      <c r="B35" s="31" t="s">
        <v>523</v>
      </c>
      <c r="C35" s="635">
        <v>0</v>
      </c>
      <c r="D35" s="636">
        <v>0</v>
      </c>
      <c r="E35" s="635">
        <v>0</v>
      </c>
    </row>
    <row r="36" spans="1:5">
      <c r="A36" s="732" t="s">
        <v>882</v>
      </c>
      <c r="B36" s="31" t="s">
        <v>883</v>
      </c>
      <c r="C36" s="635">
        <v>6000</v>
      </c>
      <c r="D36" s="636">
        <v>6000</v>
      </c>
      <c r="E36" s="635">
        <v>0</v>
      </c>
    </row>
    <row r="37" spans="1:5">
      <c r="A37" s="732" t="s">
        <v>855</v>
      </c>
      <c r="B37" s="31" t="s">
        <v>666</v>
      </c>
      <c r="C37" s="635">
        <v>2422772.5439999998</v>
      </c>
      <c r="D37" s="636">
        <v>5047442.8</v>
      </c>
      <c r="E37" s="635">
        <v>2624670.2560000001</v>
      </c>
    </row>
    <row r="38" spans="1:5">
      <c r="A38" s="732" t="s">
        <v>555</v>
      </c>
      <c r="B38" s="31" t="s">
        <v>556</v>
      </c>
      <c r="C38" s="635">
        <v>25920</v>
      </c>
      <c r="D38" s="636">
        <v>54000</v>
      </c>
      <c r="E38" s="635">
        <v>28080</v>
      </c>
    </row>
    <row r="39" spans="1:5">
      <c r="A39" s="732" t="s">
        <v>251</v>
      </c>
      <c r="B39" s="31" t="s">
        <v>667</v>
      </c>
      <c r="C39" s="635">
        <v>0</v>
      </c>
      <c r="D39" s="636">
        <v>0</v>
      </c>
      <c r="E39" s="635">
        <v>0</v>
      </c>
    </row>
    <row r="40" spans="1:5">
      <c r="A40" s="732" t="s">
        <v>858</v>
      </c>
      <c r="B40" s="31" t="s">
        <v>677</v>
      </c>
      <c r="C40" s="635">
        <v>46656</v>
      </c>
      <c r="D40" s="636">
        <v>97200</v>
      </c>
      <c r="E40" s="635">
        <v>50544</v>
      </c>
    </row>
    <row r="41" spans="1:5">
      <c r="A41" s="732" t="s">
        <v>524</v>
      </c>
      <c r="B41" s="31" t="s">
        <v>525</v>
      </c>
      <c r="C41" s="635">
        <v>0</v>
      </c>
      <c r="D41" s="636">
        <v>0</v>
      </c>
      <c r="E41" s="635">
        <v>0</v>
      </c>
    </row>
    <row r="42" spans="1:5">
      <c r="A42" s="732" t="s">
        <v>526</v>
      </c>
      <c r="B42" s="31" t="s">
        <v>527</v>
      </c>
      <c r="C42" s="635">
        <v>0</v>
      </c>
      <c r="D42" s="636">
        <v>0</v>
      </c>
      <c r="E42" s="635">
        <v>0</v>
      </c>
    </row>
    <row r="43" spans="1:5">
      <c r="A43" s="732" t="s">
        <v>859</v>
      </c>
      <c r="B43" s="31" t="s">
        <v>668</v>
      </c>
      <c r="C43" s="635">
        <v>572294.79839999997</v>
      </c>
      <c r="D43" s="636">
        <v>1192280.83</v>
      </c>
      <c r="E43" s="635">
        <v>619986.0316000001</v>
      </c>
    </row>
    <row r="44" spans="1:5">
      <c r="A44" s="732" t="s">
        <v>862</v>
      </c>
      <c r="B44" s="31" t="s">
        <v>678</v>
      </c>
      <c r="C44" s="635">
        <v>116928</v>
      </c>
      <c r="D44" s="636">
        <v>243600</v>
      </c>
      <c r="E44" s="635">
        <v>126672</v>
      </c>
    </row>
    <row r="45" spans="1:5">
      <c r="A45" s="732" t="s">
        <v>528</v>
      </c>
      <c r="B45" s="31" t="s">
        <v>529</v>
      </c>
      <c r="C45" s="635">
        <v>0</v>
      </c>
      <c r="D45" s="636">
        <v>0</v>
      </c>
      <c r="E45" s="635">
        <v>0</v>
      </c>
    </row>
    <row r="46" spans="1:5">
      <c r="A46" s="732" t="s">
        <v>530</v>
      </c>
      <c r="B46" s="31" t="s">
        <v>531</v>
      </c>
      <c r="C46" s="635">
        <v>0</v>
      </c>
      <c r="D46" s="636">
        <v>0</v>
      </c>
      <c r="E46" s="635">
        <v>0</v>
      </c>
    </row>
    <row r="47" spans="1:5">
      <c r="A47" s="732" t="s">
        <v>863</v>
      </c>
      <c r="B47" s="31" t="s">
        <v>669</v>
      </c>
      <c r="C47" s="635">
        <v>87503.126399999994</v>
      </c>
      <c r="D47" s="636">
        <v>182298.18</v>
      </c>
      <c r="E47" s="635">
        <v>94795.053599999999</v>
      </c>
    </row>
    <row r="48" spans="1:5">
      <c r="A48" s="732" t="s">
        <v>866</v>
      </c>
      <c r="B48" s="31" t="s">
        <v>679</v>
      </c>
      <c r="C48" s="635">
        <v>23616</v>
      </c>
      <c r="D48" s="636">
        <v>49200</v>
      </c>
      <c r="E48" s="635">
        <v>25584</v>
      </c>
    </row>
    <row r="49" spans="1:7">
      <c r="A49" s="732" t="s">
        <v>532</v>
      </c>
      <c r="B49" s="31" t="s">
        <v>533</v>
      </c>
      <c r="C49" s="635">
        <v>0</v>
      </c>
      <c r="D49" s="636">
        <v>0</v>
      </c>
      <c r="E49" s="635">
        <v>0</v>
      </c>
    </row>
    <row r="50" spans="1:7">
      <c r="A50" s="732" t="s">
        <v>534</v>
      </c>
      <c r="B50" s="31" t="s">
        <v>535</v>
      </c>
      <c r="C50" s="635">
        <v>0</v>
      </c>
      <c r="D50" s="636">
        <v>0</v>
      </c>
      <c r="E50" s="635">
        <v>0</v>
      </c>
    </row>
    <row r="51" spans="1:7">
      <c r="A51" s="732" t="s">
        <v>867</v>
      </c>
      <c r="B51" s="31" t="s">
        <v>670</v>
      </c>
      <c r="C51" s="635">
        <v>897984.59519999998</v>
      </c>
      <c r="D51" s="636">
        <v>1870801.24</v>
      </c>
      <c r="E51" s="635">
        <v>972816.64480000001</v>
      </c>
    </row>
    <row r="52" spans="1:7">
      <c r="A52" s="732" t="s">
        <v>870</v>
      </c>
      <c r="B52" s="31" t="s">
        <v>680</v>
      </c>
      <c r="C52" s="635">
        <v>18432</v>
      </c>
      <c r="D52" s="636">
        <v>38400</v>
      </c>
      <c r="E52" s="635">
        <v>19968</v>
      </c>
    </row>
    <row r="53" spans="1:7">
      <c r="A53" s="732" t="s">
        <v>536</v>
      </c>
      <c r="B53" s="31" t="s">
        <v>537</v>
      </c>
      <c r="C53" s="635">
        <v>0</v>
      </c>
      <c r="D53" s="636">
        <v>0</v>
      </c>
      <c r="E53" s="635">
        <v>0</v>
      </c>
    </row>
    <row r="54" spans="1:7">
      <c r="A54" s="732" t="s">
        <v>871</v>
      </c>
      <c r="B54" s="31" t="s">
        <v>671</v>
      </c>
      <c r="C54" s="635">
        <v>0</v>
      </c>
      <c r="D54" s="636">
        <v>0</v>
      </c>
      <c r="E54" s="635">
        <v>0</v>
      </c>
    </row>
    <row r="55" spans="1:7">
      <c r="A55" s="732" t="s">
        <v>632</v>
      </c>
      <c r="B55" s="31" t="s">
        <v>1102</v>
      </c>
      <c r="C55" s="635">
        <v>0</v>
      </c>
      <c r="D55" s="636">
        <v>0</v>
      </c>
      <c r="E55" s="635">
        <v>0</v>
      </c>
    </row>
    <row r="56" spans="1:7">
      <c r="A56" s="732"/>
      <c r="B56" s="681"/>
      <c r="C56" s="689">
        <f>SUM(C4:C55)</f>
        <v>11897345.277294638</v>
      </c>
      <c r="D56" s="689">
        <f>SUM(D4:D55)</f>
        <v>24779635.994363833</v>
      </c>
      <c r="E56" s="689">
        <f>SUM(E4:E55)</f>
        <v>12882290.717069194</v>
      </c>
    </row>
    <row r="57" spans="1:7">
      <c r="A57" s="732"/>
      <c r="B57" s="31"/>
      <c r="D57" s="636"/>
    </row>
    <row r="58" spans="1:7">
      <c r="A58" s="732" t="s">
        <v>538</v>
      </c>
      <c r="B58" s="31" t="s">
        <v>539</v>
      </c>
      <c r="C58" s="635">
        <v>0</v>
      </c>
      <c r="D58" s="636">
        <v>0</v>
      </c>
      <c r="E58" s="635">
        <v>0</v>
      </c>
    </row>
    <row r="59" spans="1:7">
      <c r="A59" s="732" t="s">
        <v>493</v>
      </c>
      <c r="B59" s="31" t="s">
        <v>494</v>
      </c>
      <c r="C59" s="635">
        <v>-48000</v>
      </c>
      <c r="D59" s="636">
        <v>-100000</v>
      </c>
      <c r="E59" s="635">
        <v>-52000</v>
      </c>
      <c r="G59" s="737" t="s">
        <v>1228</v>
      </c>
    </row>
    <row r="60" spans="1:7">
      <c r="A60" s="732" t="s">
        <v>1171</v>
      </c>
      <c r="B60" s="31" t="s">
        <v>1172</v>
      </c>
      <c r="C60" s="635">
        <v>14400</v>
      </c>
      <c r="D60" s="636" t="s">
        <v>549</v>
      </c>
      <c r="E60" s="635">
        <v>15600</v>
      </c>
    </row>
    <row r="61" spans="1:7">
      <c r="A61" s="732"/>
      <c r="B61" s="681"/>
      <c r="C61" s="637">
        <f>SUM(C58:C60)</f>
        <v>-33600</v>
      </c>
      <c r="D61" s="637">
        <f>SUM(D58:D60)</f>
        <v>-100000</v>
      </c>
      <c r="E61" s="637">
        <f>SUM(E58:E60)</f>
        <v>-36400</v>
      </c>
    </row>
    <row r="62" spans="1:7">
      <c r="A62" s="732"/>
      <c r="B62" s="31"/>
      <c r="D62" s="636"/>
    </row>
    <row r="63" spans="1:7">
      <c r="A63" s="732" t="s">
        <v>828</v>
      </c>
      <c r="B63" s="31" t="s">
        <v>647</v>
      </c>
      <c r="C63" s="635">
        <v>3268754.9176796554</v>
      </c>
      <c r="D63" s="636">
        <v>6809906.0784992818</v>
      </c>
      <c r="E63" s="635">
        <v>3541151.1608196264</v>
      </c>
    </row>
    <row r="64" spans="1:7">
      <c r="A64" s="732" t="s">
        <v>829</v>
      </c>
      <c r="B64" s="31" t="s">
        <v>648</v>
      </c>
      <c r="C64" s="635">
        <v>0</v>
      </c>
      <c r="D64" s="636">
        <v>0</v>
      </c>
      <c r="E64" s="635">
        <v>0</v>
      </c>
    </row>
    <row r="65" spans="1:5">
      <c r="A65" s="732" t="s">
        <v>489</v>
      </c>
      <c r="B65" s="31" t="s">
        <v>490</v>
      </c>
      <c r="C65" s="635">
        <v>0</v>
      </c>
      <c r="D65" s="636">
        <v>0</v>
      </c>
      <c r="E65" s="635">
        <v>0</v>
      </c>
    </row>
    <row r="66" spans="1:5">
      <c r="A66" s="732" t="s">
        <v>491</v>
      </c>
      <c r="B66" s="31" t="s">
        <v>492</v>
      </c>
      <c r="C66" s="635">
        <v>0</v>
      </c>
      <c r="D66" s="636">
        <v>0</v>
      </c>
      <c r="E66" s="635">
        <v>0</v>
      </c>
    </row>
    <row r="67" spans="1:5">
      <c r="A67" s="732" t="s">
        <v>396</v>
      </c>
      <c r="B67" s="31" t="s">
        <v>397</v>
      </c>
      <c r="C67" s="635">
        <v>0</v>
      </c>
      <c r="D67" s="636" t="s">
        <v>549</v>
      </c>
      <c r="E67" s="635">
        <v>0</v>
      </c>
    </row>
    <row r="68" spans="1:5">
      <c r="A68" s="732" t="s">
        <v>340</v>
      </c>
      <c r="B68" s="31" t="s">
        <v>341</v>
      </c>
      <c r="C68" s="635">
        <v>24000</v>
      </c>
      <c r="D68" s="636">
        <v>50000</v>
      </c>
      <c r="E68" s="635">
        <v>26000</v>
      </c>
    </row>
    <row r="69" spans="1:5">
      <c r="A69" s="732" t="s">
        <v>925</v>
      </c>
      <c r="B69" s="31" t="s">
        <v>884</v>
      </c>
      <c r="C69" s="635">
        <v>1625231.52</v>
      </c>
      <c r="D69" s="636">
        <v>3385899</v>
      </c>
      <c r="E69" s="635">
        <v>1760667.48</v>
      </c>
    </row>
    <row r="70" spans="1:5">
      <c r="A70" s="732"/>
      <c r="B70" s="681"/>
      <c r="C70" s="689">
        <f>SUM(C63:C69)</f>
        <v>4917986.4376796558</v>
      </c>
      <c r="D70" s="689">
        <f>SUM(D63:D69)</f>
        <v>10245805.078499282</v>
      </c>
      <c r="E70" s="689">
        <f>SUM(E63:E69)</f>
        <v>5327818.6408196259</v>
      </c>
    </row>
    <row r="71" spans="1:5">
      <c r="A71" s="732"/>
      <c r="B71" s="31"/>
      <c r="D71" s="636"/>
    </row>
    <row r="72" spans="1:5">
      <c r="A72" s="732" t="s">
        <v>285</v>
      </c>
      <c r="B72" s="31" t="s">
        <v>286</v>
      </c>
      <c r="C72" s="635">
        <v>0</v>
      </c>
      <c r="D72" s="636" t="s">
        <v>549</v>
      </c>
      <c r="E72" s="635">
        <v>0</v>
      </c>
    </row>
    <row r="73" spans="1:5">
      <c r="A73" s="732" t="s">
        <v>107</v>
      </c>
      <c r="B73" s="31" t="s">
        <v>108</v>
      </c>
      <c r="C73" s="635">
        <v>0</v>
      </c>
      <c r="D73" s="636" t="s">
        <v>549</v>
      </c>
      <c r="E73" s="635">
        <v>0</v>
      </c>
    </row>
    <row r="74" spans="1:5">
      <c r="A74" s="732" t="s">
        <v>1031</v>
      </c>
      <c r="B74" s="31" t="s">
        <v>1032</v>
      </c>
      <c r="C74" s="635">
        <v>435192.95015145943</v>
      </c>
      <c r="D74" s="636" t="s">
        <v>549</v>
      </c>
      <c r="E74" s="635">
        <v>0</v>
      </c>
    </row>
    <row r="75" spans="1:5">
      <c r="A75" s="732" t="s">
        <v>1111</v>
      </c>
      <c r="B75" s="31" t="s">
        <v>1112</v>
      </c>
      <c r="C75" s="635">
        <v>109830.71626452421</v>
      </c>
      <c r="D75" s="636" t="s">
        <v>549</v>
      </c>
      <c r="E75" s="635">
        <v>0</v>
      </c>
    </row>
    <row r="76" spans="1:5">
      <c r="A76" s="732" t="s">
        <v>1207</v>
      </c>
      <c r="B76" s="31" t="s">
        <v>1208</v>
      </c>
      <c r="C76" s="635">
        <v>109104.62165132062</v>
      </c>
      <c r="D76" s="636" t="s">
        <v>549</v>
      </c>
      <c r="E76" s="635">
        <v>0</v>
      </c>
    </row>
    <row r="77" spans="1:5">
      <c r="A77" s="732" t="s">
        <v>1209</v>
      </c>
      <c r="B77" s="31" t="s">
        <v>1210</v>
      </c>
      <c r="C77" s="635">
        <v>215286.30147846561</v>
      </c>
      <c r="D77" s="636" t="s">
        <v>549</v>
      </c>
      <c r="E77" s="635">
        <v>0</v>
      </c>
    </row>
    <row r="78" spans="1:5">
      <c r="A78" s="732" t="s">
        <v>342</v>
      </c>
      <c r="B78" s="31" t="s">
        <v>343</v>
      </c>
      <c r="C78" s="635">
        <v>568240.45804318227</v>
      </c>
      <c r="D78" s="636" t="s">
        <v>549</v>
      </c>
      <c r="E78" s="635">
        <v>52000</v>
      </c>
    </row>
    <row r="79" spans="1:5">
      <c r="A79" s="732" t="s">
        <v>1185</v>
      </c>
      <c r="B79" s="31" t="s">
        <v>1186</v>
      </c>
      <c r="C79" s="635">
        <v>455091.64800000034</v>
      </c>
      <c r="D79" s="636" t="s">
        <v>549</v>
      </c>
      <c r="E79" s="635">
        <v>478192</v>
      </c>
    </row>
    <row r="80" spans="1:5">
      <c r="A80" s="732" t="s">
        <v>1144</v>
      </c>
      <c r="B80" s="31" t="s">
        <v>1145</v>
      </c>
      <c r="C80" s="635">
        <v>446942.63063476619</v>
      </c>
      <c r="D80" s="636" t="s">
        <v>549</v>
      </c>
      <c r="E80" s="635">
        <v>0</v>
      </c>
    </row>
    <row r="81" spans="1:5">
      <c r="A81" s="732" t="s">
        <v>885</v>
      </c>
      <c r="B81" s="31" t="s">
        <v>886</v>
      </c>
      <c r="C81" s="635">
        <v>0</v>
      </c>
      <c r="D81" s="636">
        <v>0</v>
      </c>
      <c r="E81" s="635">
        <v>0</v>
      </c>
    </row>
    <row r="82" spans="1:5">
      <c r="A82" s="732"/>
      <c r="B82" s="681"/>
      <c r="C82" s="637">
        <f>SUM(C72:C81)</f>
        <v>2339689.3262237185</v>
      </c>
      <c r="D82" s="637">
        <f>SUM(D72:D81)</f>
        <v>0</v>
      </c>
      <c r="E82" s="637">
        <f>SUM(E72:E81)</f>
        <v>530192</v>
      </c>
    </row>
    <row r="83" spans="1:5">
      <c r="A83" s="732"/>
      <c r="B83" s="31"/>
      <c r="D83" s="636"/>
    </row>
    <row r="84" spans="1:5">
      <c r="A84" s="732" t="s">
        <v>557</v>
      </c>
      <c r="B84" s="31" t="s">
        <v>1015</v>
      </c>
      <c r="C84" s="635">
        <v>0</v>
      </c>
      <c r="D84" s="636">
        <v>4436610</v>
      </c>
      <c r="E84" s="635">
        <v>4436610</v>
      </c>
    </row>
    <row r="85" spans="1:5" customFormat="1">
      <c r="A85" s="732" t="s">
        <v>1044</v>
      </c>
      <c r="B85" s="663" t="s">
        <v>1045</v>
      </c>
      <c r="C85" s="635">
        <v>-2.3283064365386963E-10</v>
      </c>
      <c r="D85" s="635">
        <v>1869599.9999999998</v>
      </c>
      <c r="E85" s="635">
        <v>1869600</v>
      </c>
    </row>
    <row r="86" spans="1:5">
      <c r="A86" s="732"/>
      <c r="B86" s="681"/>
      <c r="C86" s="637">
        <f>SUM(C84:C85)</f>
        <v>-2.3283064365386963E-10</v>
      </c>
      <c r="D86" s="637">
        <f>SUM(D84:D85)</f>
        <v>6306210</v>
      </c>
      <c r="E86" s="637">
        <f>SUM(E84:E85)</f>
        <v>6306210</v>
      </c>
    </row>
    <row r="87" spans="1:5">
      <c r="A87" s="732"/>
      <c r="B87" s="31"/>
      <c r="D87" s="636"/>
    </row>
    <row r="88" spans="1:5" customFormat="1">
      <c r="A88" s="732" t="s">
        <v>394</v>
      </c>
      <c r="B88" s="663" t="s">
        <v>395</v>
      </c>
      <c r="C88" s="635">
        <v>0</v>
      </c>
      <c r="D88" s="636">
        <v>0</v>
      </c>
      <c r="E88" s="635">
        <v>0</v>
      </c>
    </row>
    <row r="89" spans="1:5">
      <c r="A89" s="732" t="s">
        <v>499</v>
      </c>
      <c r="B89" s="31" t="s">
        <v>500</v>
      </c>
      <c r="C89" s="635">
        <v>-2.1239984035491943E-3</v>
      </c>
      <c r="D89" s="636">
        <v>-4.4249966740608215E-3</v>
      </c>
      <c r="E89" s="635">
        <v>-2.3009982705116273E-3</v>
      </c>
    </row>
    <row r="90" spans="1:5">
      <c r="A90" s="732" t="s">
        <v>926</v>
      </c>
      <c r="B90" s="31" t="s">
        <v>927</v>
      </c>
      <c r="C90" s="635">
        <v>0</v>
      </c>
      <c r="D90" s="636">
        <v>0</v>
      </c>
      <c r="E90" s="635">
        <v>0</v>
      </c>
    </row>
    <row r="91" spans="1:5">
      <c r="A91" s="732" t="s">
        <v>928</v>
      </c>
      <c r="B91" s="31" t="s">
        <v>929</v>
      </c>
      <c r="C91" s="635">
        <v>0</v>
      </c>
      <c r="D91" s="636">
        <v>0</v>
      </c>
      <c r="E91" s="635">
        <v>0</v>
      </c>
    </row>
    <row r="92" spans="1:5">
      <c r="A92" s="732" t="s">
        <v>930</v>
      </c>
      <c r="B92" s="31" t="s">
        <v>1007</v>
      </c>
      <c r="C92" s="635">
        <v>0</v>
      </c>
      <c r="D92" s="636">
        <v>0</v>
      </c>
      <c r="E92" s="635">
        <v>0</v>
      </c>
    </row>
    <row r="93" spans="1:5">
      <c r="A93" s="732" t="s">
        <v>1008</v>
      </c>
      <c r="B93" s="31" t="s">
        <v>1009</v>
      </c>
      <c r="C93" s="635">
        <v>0</v>
      </c>
      <c r="D93" s="636">
        <v>0</v>
      </c>
      <c r="E93" s="635">
        <v>0</v>
      </c>
    </row>
    <row r="94" spans="1:5">
      <c r="A94" s="732" t="s">
        <v>1010</v>
      </c>
      <c r="B94" s="31" t="s">
        <v>1011</v>
      </c>
      <c r="C94" s="635">
        <v>0</v>
      </c>
      <c r="D94" s="636">
        <v>0</v>
      </c>
      <c r="E94" s="635">
        <v>0</v>
      </c>
    </row>
    <row r="95" spans="1:5">
      <c r="A95" s="732" t="s">
        <v>1012</v>
      </c>
      <c r="B95" s="31" t="s">
        <v>1013</v>
      </c>
      <c r="C95" s="635">
        <v>0</v>
      </c>
      <c r="D95" s="636">
        <v>0</v>
      </c>
      <c r="E95" s="635">
        <v>0</v>
      </c>
    </row>
    <row r="96" spans="1:5">
      <c r="A96" s="732" t="s">
        <v>1014</v>
      </c>
      <c r="B96" s="31" t="s">
        <v>13</v>
      </c>
      <c r="C96" s="635">
        <v>0</v>
      </c>
      <c r="D96" s="636">
        <v>0</v>
      </c>
      <c r="E96" s="635">
        <v>0</v>
      </c>
    </row>
    <row r="97" spans="1:5">
      <c r="A97" s="732" t="s">
        <v>14</v>
      </c>
      <c r="B97" s="31" t="s">
        <v>15</v>
      </c>
      <c r="C97" s="635">
        <v>0</v>
      </c>
      <c r="D97" s="636">
        <v>0</v>
      </c>
      <c r="E97" s="635">
        <v>0</v>
      </c>
    </row>
    <row r="98" spans="1:5">
      <c r="A98" s="732" t="s">
        <v>16</v>
      </c>
      <c r="B98" s="31" t="s">
        <v>17</v>
      </c>
      <c r="C98" s="635">
        <v>0</v>
      </c>
      <c r="D98" s="636">
        <v>0</v>
      </c>
      <c r="E98" s="635">
        <v>0</v>
      </c>
    </row>
    <row r="99" spans="1:5">
      <c r="A99" s="732"/>
      <c r="B99" s="681"/>
      <c r="C99" s="637">
        <f>SUM(C88:C98)</f>
        <v>-2.1239984035491943E-3</v>
      </c>
      <c r="D99" s="637">
        <f>SUM(D88:D98)</f>
        <v>-4.4249966740608215E-3</v>
      </c>
      <c r="E99" s="637">
        <f>SUM(E88:E98)</f>
        <v>-2.3009982705116273E-3</v>
      </c>
    </row>
    <row r="100" spans="1:5">
      <c r="A100" s="732"/>
      <c r="B100" s="31"/>
      <c r="D100" s="636"/>
    </row>
    <row r="101" spans="1:5">
      <c r="A101" s="732" t="s">
        <v>483</v>
      </c>
      <c r="B101" s="31" t="s">
        <v>484</v>
      </c>
      <c r="C101" s="635">
        <v>51609.505488778144</v>
      </c>
      <c r="D101" s="636">
        <v>107519.80310162113</v>
      </c>
      <c r="E101" s="635">
        <v>55910.297612842987</v>
      </c>
    </row>
    <row r="102" spans="1:5">
      <c r="A102" s="732" t="s">
        <v>831</v>
      </c>
      <c r="B102" s="31" t="s">
        <v>832</v>
      </c>
      <c r="C102" s="635">
        <v>980720.12998509267</v>
      </c>
      <c r="D102" s="636">
        <v>2043166.9374689432</v>
      </c>
      <c r="E102" s="635">
        <v>1062446.8074838505</v>
      </c>
    </row>
    <row r="103" spans="1:5">
      <c r="A103" s="732" t="s">
        <v>839</v>
      </c>
      <c r="B103" s="31" t="s">
        <v>840</v>
      </c>
      <c r="C103" s="635">
        <v>956714.31301014184</v>
      </c>
      <c r="D103" s="636">
        <v>1993154.818771129</v>
      </c>
      <c r="E103" s="635">
        <v>1036440.5057609872</v>
      </c>
    </row>
    <row r="104" spans="1:5">
      <c r="A104" s="732" t="s">
        <v>843</v>
      </c>
      <c r="B104" s="31" t="s">
        <v>844</v>
      </c>
      <c r="C104" s="635">
        <v>120534.96790866969</v>
      </c>
      <c r="D104" s="636">
        <v>251114.51647639519</v>
      </c>
      <c r="E104" s="635">
        <v>130579.54856772551</v>
      </c>
    </row>
    <row r="105" spans="1:5">
      <c r="A105" s="732" t="s">
        <v>848</v>
      </c>
      <c r="B105" s="31" t="s">
        <v>849</v>
      </c>
      <c r="C105" s="635">
        <v>377678.02704444388</v>
      </c>
      <c r="D105" s="636">
        <v>786829.22300925816</v>
      </c>
      <c r="E105" s="635">
        <v>409151.19596481428</v>
      </c>
    </row>
    <row r="106" spans="1:5">
      <c r="A106" s="732" t="s">
        <v>852</v>
      </c>
      <c r="B106" s="31" t="s">
        <v>853</v>
      </c>
      <c r="C106" s="635">
        <v>40481.082179000972</v>
      </c>
      <c r="D106" s="636">
        <v>84335.587872918695</v>
      </c>
      <c r="E106" s="635">
        <v>43854.505693917723</v>
      </c>
    </row>
    <row r="107" spans="1:5">
      <c r="A107" s="732" t="s">
        <v>856</v>
      </c>
      <c r="B107" s="31" t="s">
        <v>857</v>
      </c>
      <c r="C107" s="635">
        <v>389198.63867494016</v>
      </c>
      <c r="D107" s="636">
        <v>810830.49723945872</v>
      </c>
      <c r="E107" s="635">
        <v>421631.85856451857</v>
      </c>
    </row>
    <row r="108" spans="1:5">
      <c r="A108" s="732" t="s">
        <v>860</v>
      </c>
      <c r="B108" s="31" t="s">
        <v>861</v>
      </c>
      <c r="C108" s="635">
        <v>103527.22748676605</v>
      </c>
      <c r="D108" s="636">
        <v>215681.72393076262</v>
      </c>
      <c r="E108" s="635">
        <v>112154.49644399657</v>
      </c>
    </row>
    <row r="109" spans="1:5">
      <c r="A109" s="732" t="s">
        <v>864</v>
      </c>
      <c r="B109" s="31" t="s">
        <v>865</v>
      </c>
      <c r="C109" s="635">
        <v>16033.10981771705</v>
      </c>
      <c r="D109" s="636">
        <v>33402.312120243856</v>
      </c>
      <c r="E109" s="635">
        <v>17369.202302526806</v>
      </c>
    </row>
    <row r="110" spans="1:5">
      <c r="A110" s="732" t="s">
        <v>868</v>
      </c>
      <c r="B110" s="31" t="s">
        <v>869</v>
      </c>
      <c r="C110" s="635">
        <v>176984.60972720504</v>
      </c>
      <c r="D110" s="636">
        <v>368717.93693167716</v>
      </c>
      <c r="E110" s="635">
        <v>191733.32720447212</v>
      </c>
    </row>
    <row r="111" spans="1:5">
      <c r="A111" s="732" t="s">
        <v>25</v>
      </c>
      <c r="B111" s="31" t="s">
        <v>26</v>
      </c>
      <c r="C111" s="635">
        <v>0</v>
      </c>
      <c r="D111" s="636">
        <v>0</v>
      </c>
      <c r="E111" s="635">
        <v>0</v>
      </c>
    </row>
    <row r="112" spans="1:5">
      <c r="A112" s="732"/>
      <c r="B112" s="681"/>
      <c r="C112" s="637">
        <f>SUM(C101:C111)</f>
        <v>3213481.6113227555</v>
      </c>
      <c r="D112" s="637">
        <f>SUM(D101:D111)</f>
        <v>6694753.3569224086</v>
      </c>
      <c r="E112" s="637">
        <f>SUM(E101:E111)</f>
        <v>3481271.7455996517</v>
      </c>
    </row>
    <row r="113" spans="1:5">
      <c r="A113" s="732"/>
      <c r="B113" s="31"/>
      <c r="D113" s="636"/>
    </row>
    <row r="114" spans="1:5">
      <c r="A114" s="732" t="s">
        <v>558</v>
      </c>
      <c r="B114" s="31" t="s">
        <v>559</v>
      </c>
      <c r="C114" s="635">
        <v>0</v>
      </c>
      <c r="D114" s="636" t="s">
        <v>549</v>
      </c>
      <c r="E114" s="635">
        <v>0</v>
      </c>
    </row>
    <row r="115" spans="1:5">
      <c r="A115" s="732" t="s">
        <v>502</v>
      </c>
      <c r="B115" s="31" t="s">
        <v>503</v>
      </c>
      <c r="C115" s="635">
        <v>0</v>
      </c>
      <c r="D115" s="636" t="s">
        <v>549</v>
      </c>
      <c r="E115" s="635">
        <v>0</v>
      </c>
    </row>
    <row r="116" spans="1:5">
      <c r="A116" s="732" t="s">
        <v>287</v>
      </c>
      <c r="B116" s="31" t="s">
        <v>290</v>
      </c>
      <c r="C116" s="635">
        <v>0</v>
      </c>
      <c r="D116" s="636" t="s">
        <v>549</v>
      </c>
      <c r="E116" s="635">
        <v>0</v>
      </c>
    </row>
    <row r="117" spans="1:5">
      <c r="A117" s="732" t="s">
        <v>288</v>
      </c>
      <c r="B117" s="31" t="s">
        <v>291</v>
      </c>
      <c r="C117" s="635">
        <v>0</v>
      </c>
      <c r="D117" s="636" t="s">
        <v>549</v>
      </c>
      <c r="E117" s="635">
        <v>0</v>
      </c>
    </row>
    <row r="118" spans="1:5">
      <c r="A118" s="732" t="s">
        <v>289</v>
      </c>
      <c r="B118" s="31" t="s">
        <v>292</v>
      </c>
      <c r="C118" s="635">
        <v>0</v>
      </c>
      <c r="D118" s="636" t="s">
        <v>549</v>
      </c>
      <c r="E118" s="636" t="s">
        <v>549</v>
      </c>
    </row>
    <row r="119" spans="1:5">
      <c r="A119" s="732" t="s">
        <v>105</v>
      </c>
      <c r="B119" s="31" t="s">
        <v>106</v>
      </c>
      <c r="C119" s="635">
        <v>0</v>
      </c>
      <c r="D119" s="636" t="s">
        <v>549</v>
      </c>
      <c r="E119" s="635">
        <v>0</v>
      </c>
    </row>
    <row r="120" spans="1:5">
      <c r="A120" s="732" t="s">
        <v>1029</v>
      </c>
      <c r="B120" s="31" t="s">
        <v>1030</v>
      </c>
      <c r="C120" s="635">
        <v>24124.478614903823</v>
      </c>
      <c r="D120" s="636" t="s">
        <v>549</v>
      </c>
      <c r="E120" s="635">
        <v>0</v>
      </c>
    </row>
    <row r="121" spans="1:5">
      <c r="A121" s="732" t="s">
        <v>1107</v>
      </c>
      <c r="B121" s="31" t="s">
        <v>1108</v>
      </c>
      <c r="C121" s="635">
        <v>7453.3653388897492</v>
      </c>
      <c r="D121" s="636" t="s">
        <v>549</v>
      </c>
      <c r="E121" s="635">
        <v>0</v>
      </c>
    </row>
    <row r="122" spans="1:5">
      <c r="A122" s="732" t="s">
        <v>1109</v>
      </c>
      <c r="B122" s="31" t="s">
        <v>1110</v>
      </c>
      <c r="C122" s="635">
        <v>18952.629913760436</v>
      </c>
      <c r="D122" s="636" t="s">
        <v>549</v>
      </c>
      <c r="E122" s="635">
        <v>0</v>
      </c>
    </row>
    <row r="123" spans="1:5">
      <c r="A123" s="732" t="s">
        <v>1113</v>
      </c>
      <c r="B123" s="31" t="s">
        <v>1114</v>
      </c>
      <c r="C123" s="635">
        <v>-2761.0354884237386</v>
      </c>
      <c r="D123" s="636" t="s">
        <v>549</v>
      </c>
      <c r="E123" s="635">
        <v>0</v>
      </c>
    </row>
    <row r="124" spans="1:5">
      <c r="A124" s="732" t="s">
        <v>1203</v>
      </c>
      <c r="B124" s="31" t="s">
        <v>1204</v>
      </c>
      <c r="C124" s="635">
        <v>13028.918648085611</v>
      </c>
      <c r="D124" s="636" t="s">
        <v>549</v>
      </c>
      <c r="E124" s="635">
        <v>0</v>
      </c>
    </row>
    <row r="125" spans="1:5">
      <c r="A125" s="732" t="s">
        <v>1205</v>
      </c>
      <c r="B125" s="31" t="s">
        <v>1206</v>
      </c>
      <c r="C125" s="635">
        <v>27141.872992871828</v>
      </c>
      <c r="D125" s="636" t="s">
        <v>549</v>
      </c>
      <c r="E125" s="635">
        <v>0</v>
      </c>
    </row>
    <row r="126" spans="1:5">
      <c r="A126" s="732" t="s">
        <v>1211</v>
      </c>
      <c r="B126" s="31" t="s">
        <v>1212</v>
      </c>
      <c r="C126" s="635">
        <v>-2813.8013130764798</v>
      </c>
      <c r="D126" s="636" t="s">
        <v>549</v>
      </c>
      <c r="E126" s="635">
        <v>0</v>
      </c>
    </row>
    <row r="127" spans="1:5">
      <c r="A127" s="732" t="s">
        <v>1213</v>
      </c>
      <c r="B127" s="31" t="s">
        <v>1214</v>
      </c>
      <c r="C127" s="635">
        <v>7004.8083735948767</v>
      </c>
      <c r="D127" s="636" t="s">
        <v>549</v>
      </c>
      <c r="E127" s="635">
        <v>0</v>
      </c>
    </row>
    <row r="128" spans="1:5">
      <c r="A128" s="732" t="s">
        <v>109</v>
      </c>
      <c r="B128" s="31" t="s">
        <v>110</v>
      </c>
      <c r="C128" s="635">
        <v>19036.992884363674</v>
      </c>
      <c r="D128" s="636" t="s">
        <v>549</v>
      </c>
      <c r="E128" s="635">
        <v>52000</v>
      </c>
    </row>
    <row r="129" spans="1:5">
      <c r="A129" s="732" t="s">
        <v>878</v>
      </c>
      <c r="B129" s="31" t="s">
        <v>90</v>
      </c>
      <c r="C129" s="635">
        <v>43097.297215275568</v>
      </c>
      <c r="D129" s="636" t="s">
        <v>549</v>
      </c>
      <c r="E129" s="635">
        <v>130000</v>
      </c>
    </row>
    <row r="130" spans="1:5">
      <c r="A130" s="732" t="s">
        <v>1115</v>
      </c>
      <c r="B130" s="31" t="s">
        <v>1116</v>
      </c>
      <c r="C130" s="635">
        <v>15229.594307490945</v>
      </c>
      <c r="D130" s="636" t="s">
        <v>549</v>
      </c>
      <c r="E130" s="635">
        <v>41600</v>
      </c>
    </row>
    <row r="131" spans="1:5">
      <c r="A131" s="732" t="s">
        <v>1179</v>
      </c>
      <c r="B131" s="31" t="s">
        <v>1181</v>
      </c>
      <c r="C131" s="635">
        <v>19324.054409566419</v>
      </c>
      <c r="D131" s="636" t="s">
        <v>549</v>
      </c>
      <c r="E131" s="635">
        <v>162240</v>
      </c>
    </row>
    <row r="132" spans="1:5">
      <c r="A132" s="732" t="s">
        <v>1180</v>
      </c>
      <c r="B132" s="31" t="s">
        <v>1182</v>
      </c>
      <c r="C132" s="635">
        <v>33445.478785788</v>
      </c>
      <c r="D132" s="636" t="s">
        <v>549</v>
      </c>
      <c r="E132" s="635">
        <v>280800</v>
      </c>
    </row>
    <row r="133" spans="1:5">
      <c r="A133" s="732" t="s">
        <v>1183</v>
      </c>
      <c r="B133" s="31" t="s">
        <v>1184</v>
      </c>
      <c r="C133" s="635">
        <v>2477.4428730213331</v>
      </c>
      <c r="D133" s="636" t="s">
        <v>549</v>
      </c>
      <c r="E133" s="635">
        <v>20800</v>
      </c>
    </row>
    <row r="134" spans="1:5">
      <c r="A134" s="732" t="s">
        <v>1117</v>
      </c>
      <c r="B134" s="31" t="s">
        <v>1118</v>
      </c>
      <c r="C134" s="635">
        <v>0</v>
      </c>
      <c r="D134" s="636" t="s">
        <v>549</v>
      </c>
      <c r="E134" s="635">
        <v>0</v>
      </c>
    </row>
    <row r="135" spans="1:5">
      <c r="A135" s="732" t="s">
        <v>1215</v>
      </c>
      <c r="B135" s="31" t="s">
        <v>1216</v>
      </c>
      <c r="C135" s="635">
        <v>63952.354763594354</v>
      </c>
      <c r="D135" s="636" t="s">
        <v>549</v>
      </c>
      <c r="E135" s="635">
        <v>0</v>
      </c>
    </row>
    <row r="136" spans="1:5">
      <c r="A136" s="732" t="s">
        <v>111</v>
      </c>
      <c r="B136" s="31" t="s">
        <v>112</v>
      </c>
      <c r="C136" s="635">
        <v>47592.482210909184</v>
      </c>
      <c r="D136" s="636" t="s">
        <v>549</v>
      </c>
      <c r="E136" s="635">
        <v>130000</v>
      </c>
    </row>
    <row r="137" spans="1:5">
      <c r="A137" s="732"/>
      <c r="B137" s="31"/>
      <c r="D137" s="636"/>
    </row>
    <row r="138" spans="1:5">
      <c r="A138" s="732" t="s">
        <v>30</v>
      </c>
      <c r="B138" s="31" t="s">
        <v>91</v>
      </c>
      <c r="C138" s="635">
        <v>0</v>
      </c>
      <c r="D138" s="636" t="s">
        <v>549</v>
      </c>
      <c r="E138" s="635">
        <v>0</v>
      </c>
    </row>
    <row r="139" spans="1:5">
      <c r="A139" s="732" t="s">
        <v>876</v>
      </c>
      <c r="B139" s="31" t="s">
        <v>877</v>
      </c>
      <c r="C139" s="635">
        <v>110400</v>
      </c>
      <c r="D139" s="636">
        <v>0</v>
      </c>
      <c r="E139" s="635">
        <v>119600</v>
      </c>
    </row>
    <row r="140" spans="1:5">
      <c r="A140" s="732" t="s">
        <v>101</v>
      </c>
      <c r="B140" s="31" t="s">
        <v>362</v>
      </c>
      <c r="C140" s="635">
        <v>96000</v>
      </c>
      <c r="D140" s="636" t="s">
        <v>549</v>
      </c>
      <c r="E140" s="635">
        <v>104000</v>
      </c>
    </row>
    <row r="141" spans="1:5">
      <c r="A141" s="732" t="s">
        <v>363</v>
      </c>
      <c r="B141" s="31" t="s">
        <v>364</v>
      </c>
      <c r="C141" s="635">
        <v>0</v>
      </c>
      <c r="D141" s="636" t="s">
        <v>549</v>
      </c>
      <c r="E141" s="635">
        <v>0</v>
      </c>
    </row>
    <row r="142" spans="1:5">
      <c r="A142" s="732" t="s">
        <v>1174</v>
      </c>
      <c r="B142" s="31" t="s">
        <v>1175</v>
      </c>
      <c r="C142" s="635">
        <v>2400</v>
      </c>
      <c r="D142" s="636" t="s">
        <v>549</v>
      </c>
      <c r="E142" s="635">
        <v>2600</v>
      </c>
    </row>
    <row r="143" spans="1:5">
      <c r="A143" s="732" t="s">
        <v>1176</v>
      </c>
      <c r="B143" s="31" t="s">
        <v>1177</v>
      </c>
      <c r="C143" s="635">
        <v>48000</v>
      </c>
      <c r="D143" s="636" t="s">
        <v>549</v>
      </c>
      <c r="E143" s="635">
        <v>52000</v>
      </c>
    </row>
    <row r="144" spans="1:5">
      <c r="A144" s="732" t="s">
        <v>338</v>
      </c>
      <c r="B144" s="31" t="s">
        <v>339</v>
      </c>
      <c r="C144" s="635">
        <v>76800</v>
      </c>
      <c r="D144" s="636" t="s">
        <v>549</v>
      </c>
      <c r="E144" s="635">
        <v>83200</v>
      </c>
    </row>
    <row r="145" spans="1:7">
      <c r="A145" s="732" t="s">
        <v>1105</v>
      </c>
      <c r="B145" s="31" t="s">
        <v>1106</v>
      </c>
      <c r="C145" s="635">
        <v>98400</v>
      </c>
      <c r="D145" s="636" t="s">
        <v>549</v>
      </c>
      <c r="E145" s="635">
        <v>106600</v>
      </c>
    </row>
    <row r="146" spans="1:7">
      <c r="A146" s="732" t="s">
        <v>27</v>
      </c>
      <c r="B146" s="31" t="s">
        <v>283</v>
      </c>
      <c r="C146" s="635">
        <v>0</v>
      </c>
      <c r="D146" s="636">
        <v>0</v>
      </c>
      <c r="E146" s="635">
        <v>0</v>
      </c>
    </row>
    <row r="147" spans="1:7">
      <c r="A147" s="732" t="s">
        <v>879</v>
      </c>
      <c r="B147" s="31" t="s">
        <v>880</v>
      </c>
      <c r="C147" s="635">
        <v>19200</v>
      </c>
      <c r="D147" s="636">
        <v>0</v>
      </c>
      <c r="E147" s="635">
        <v>20800</v>
      </c>
    </row>
    <row r="148" spans="1:7">
      <c r="A148" s="732"/>
      <c r="B148" s="681"/>
      <c r="C148" s="641">
        <f>SUM(C114:C147)</f>
        <v>787486.93453061557</v>
      </c>
      <c r="D148" s="641">
        <f t="shared" ref="D148:E148" si="0">SUM(D114:D147)</f>
        <v>0</v>
      </c>
      <c r="E148" s="641">
        <f t="shared" si="0"/>
        <v>1306240</v>
      </c>
    </row>
    <row r="149" spans="1:7">
      <c r="A149" s="732"/>
      <c r="C149" s="641">
        <f>C112+C99+C70+C56+C86+C82+C148+C61</f>
        <v>23122389.584927384</v>
      </c>
      <c r="D149" s="641">
        <f>D112+D99+D70+D56+D86+D82+D148+D61</f>
        <v>47926404.425360531</v>
      </c>
      <c r="E149" s="641">
        <f>E112+E99+E70+E56+E86+E82+E148+E61</f>
        <v>29797623.101187475</v>
      </c>
    </row>
    <row r="150" spans="1:7" s="190" customFormat="1" outlineLevel="1">
      <c r="A150" s="732"/>
      <c r="C150" s="638">
        <f>+C149-'Bus-Sum'!C18</f>
        <v>22061494.652520768</v>
      </c>
      <c r="D150" s="639"/>
      <c r="E150" s="640"/>
      <c r="F150" s="417"/>
      <c r="G150" s="417"/>
    </row>
    <row r="151" spans="1:7">
      <c r="A151" s="732"/>
      <c r="B151" s="31"/>
      <c r="D151" s="636"/>
    </row>
    <row r="152" spans="1:7">
      <c r="A152" s="732"/>
      <c r="B152" s="31"/>
      <c r="D152" s="636"/>
    </row>
    <row r="153" spans="1:7" customFormat="1">
      <c r="A153" s="732" t="s">
        <v>439</v>
      </c>
      <c r="B153" s="663" t="s">
        <v>881</v>
      </c>
      <c r="C153" s="635">
        <v>1023773.0939333602</v>
      </c>
      <c r="D153" s="635">
        <v>2326757.0316667277</v>
      </c>
      <c r="E153" s="635">
        <v>1302983.9377333676</v>
      </c>
    </row>
    <row r="154" spans="1:7" customFormat="1">
      <c r="A154" s="732" t="s">
        <v>440</v>
      </c>
      <c r="B154" s="663" t="s">
        <v>441</v>
      </c>
      <c r="C154" s="635">
        <v>4634846.4799999995</v>
      </c>
      <c r="D154" s="635">
        <v>10533742</v>
      </c>
      <c r="E154" s="635">
        <v>5898895.5200000005</v>
      </c>
    </row>
    <row r="155" spans="1:7" customFormat="1">
      <c r="A155" s="732" t="s">
        <v>442</v>
      </c>
      <c r="B155" s="663" t="s">
        <v>443</v>
      </c>
      <c r="C155" s="635">
        <v>2978962.36</v>
      </c>
      <c r="D155" s="635">
        <v>6770369</v>
      </c>
      <c r="E155" s="635">
        <v>3791406.64</v>
      </c>
    </row>
    <row r="156" spans="1:7" customFormat="1">
      <c r="A156" s="732" t="s">
        <v>444</v>
      </c>
      <c r="B156" s="663" t="s">
        <v>445</v>
      </c>
      <c r="C156" s="635">
        <v>96799.999999999985</v>
      </c>
      <c r="D156" s="635">
        <v>220000</v>
      </c>
      <c r="E156" s="635">
        <v>123200.00000000001</v>
      </c>
    </row>
    <row r="157" spans="1:7" customFormat="1">
      <c r="A157" s="732" t="s">
        <v>1042</v>
      </c>
      <c r="B157" s="663" t="s">
        <v>1043</v>
      </c>
      <c r="C157" s="635">
        <v>571035.66299999994</v>
      </c>
      <c r="D157" s="635">
        <v>1297808.325</v>
      </c>
      <c r="E157" s="635">
        <v>726772.66200000001</v>
      </c>
    </row>
    <row r="158" spans="1:7" customFormat="1">
      <c r="A158" s="732" t="s">
        <v>1046</v>
      </c>
      <c r="B158" s="663" t="s">
        <v>449</v>
      </c>
      <c r="C158" s="635">
        <v>329700.24124999985</v>
      </c>
      <c r="D158" s="635">
        <v>686875.51124999986</v>
      </c>
      <c r="E158" s="635">
        <v>357175.27</v>
      </c>
    </row>
    <row r="159" spans="1:7">
      <c r="A159" s="732" t="s">
        <v>874</v>
      </c>
      <c r="B159" s="31" t="s">
        <v>875</v>
      </c>
      <c r="C159" s="635">
        <v>137280</v>
      </c>
      <c r="D159" s="636">
        <v>0</v>
      </c>
      <c r="E159" s="635">
        <v>148720</v>
      </c>
    </row>
    <row r="160" spans="1:7">
      <c r="A160" s="732" t="s">
        <v>1053</v>
      </c>
      <c r="B160" s="31" t="s">
        <v>1137</v>
      </c>
      <c r="C160" s="635">
        <v>38400</v>
      </c>
      <c r="D160" s="636" t="s">
        <v>549</v>
      </c>
      <c r="E160" s="636">
        <v>41600</v>
      </c>
    </row>
    <row r="161" spans="1:5">
      <c r="A161" s="732" t="s">
        <v>1049</v>
      </c>
      <c r="B161" s="31" t="s">
        <v>1050</v>
      </c>
      <c r="C161" s="635">
        <v>428640</v>
      </c>
      <c r="D161" s="636" t="s">
        <v>549</v>
      </c>
      <c r="E161" s="636">
        <v>464360</v>
      </c>
    </row>
    <row r="162" spans="1:5">
      <c r="A162" s="732" t="s">
        <v>1051</v>
      </c>
      <c r="B162" s="31" t="s">
        <v>1052</v>
      </c>
      <c r="C162" s="635">
        <v>16800</v>
      </c>
      <c r="D162" s="636" t="s">
        <v>549</v>
      </c>
      <c r="E162" s="636">
        <v>18200</v>
      </c>
    </row>
    <row r="163" spans="1:5">
      <c r="A163" s="732" t="s">
        <v>123</v>
      </c>
      <c r="B163" s="31" t="s">
        <v>446</v>
      </c>
      <c r="C163" s="635">
        <v>98400</v>
      </c>
      <c r="D163" s="636" t="s">
        <v>549</v>
      </c>
      <c r="E163" s="635">
        <v>106600</v>
      </c>
    </row>
    <row r="164" spans="1:5">
      <c r="A164" s="732" t="s">
        <v>124</v>
      </c>
      <c r="B164" s="31" t="s">
        <v>1018</v>
      </c>
      <c r="C164" s="635">
        <v>216000</v>
      </c>
      <c r="D164" s="636" t="s">
        <v>549</v>
      </c>
      <c r="E164" s="635">
        <v>234000</v>
      </c>
    </row>
    <row r="165" spans="1:5">
      <c r="A165" s="732" t="s">
        <v>447</v>
      </c>
      <c r="B165" s="663" t="s">
        <v>448</v>
      </c>
      <c r="C165" s="635">
        <v>67200</v>
      </c>
      <c r="D165" s="636" t="s">
        <v>549</v>
      </c>
      <c r="E165" s="635">
        <v>72800</v>
      </c>
    </row>
    <row r="166" spans="1:5">
      <c r="A166" s="732" t="s">
        <v>125</v>
      </c>
      <c r="B166" s="31" t="s">
        <v>1019</v>
      </c>
      <c r="C166" s="635">
        <v>0</v>
      </c>
      <c r="D166" s="636" t="s">
        <v>549</v>
      </c>
      <c r="E166" s="635">
        <v>0</v>
      </c>
    </row>
    <row r="167" spans="1:5">
      <c r="A167" s="732" t="s">
        <v>360</v>
      </c>
      <c r="B167" s="31" t="s">
        <v>1020</v>
      </c>
      <c r="C167" s="635">
        <v>600000</v>
      </c>
      <c r="D167" s="636" t="s">
        <v>549</v>
      </c>
      <c r="E167" s="635">
        <v>650000</v>
      </c>
    </row>
    <row r="168" spans="1:5">
      <c r="A168" s="732" t="s">
        <v>1061</v>
      </c>
      <c r="B168" s="31" t="s">
        <v>1062</v>
      </c>
      <c r="C168" s="635">
        <v>72000</v>
      </c>
      <c r="D168" s="636" t="s">
        <v>549</v>
      </c>
      <c r="E168" s="636">
        <v>78000</v>
      </c>
    </row>
    <row r="169" spans="1:5">
      <c r="A169" s="732" t="s">
        <v>1063</v>
      </c>
      <c r="B169" s="31" t="s">
        <v>1064</v>
      </c>
      <c r="C169" s="635">
        <v>36000</v>
      </c>
      <c r="D169" s="636" t="s">
        <v>549</v>
      </c>
      <c r="E169" s="636">
        <v>39000</v>
      </c>
    </row>
    <row r="170" spans="1:5">
      <c r="A170" s="732" t="s">
        <v>73</v>
      </c>
      <c r="B170" s="31" t="s">
        <v>914</v>
      </c>
      <c r="C170" s="635">
        <v>114565</v>
      </c>
      <c r="D170" s="636">
        <v>0</v>
      </c>
      <c r="E170" s="635">
        <v>145810</v>
      </c>
    </row>
    <row r="171" spans="1:5">
      <c r="A171" s="732" t="s">
        <v>1054</v>
      </c>
      <c r="B171" s="31" t="s">
        <v>1055</v>
      </c>
      <c r="C171" s="635">
        <v>950438.02</v>
      </c>
      <c r="D171" s="636">
        <v>2160086.4</v>
      </c>
      <c r="E171" s="636">
        <v>1209648.3799999999</v>
      </c>
    </row>
    <row r="172" spans="1:5">
      <c r="A172" s="732" t="s">
        <v>1056</v>
      </c>
      <c r="B172" s="31" t="s">
        <v>1057</v>
      </c>
      <c r="C172" s="635">
        <v>-950438.02</v>
      </c>
      <c r="D172" s="636">
        <v>-2160086.4</v>
      </c>
      <c r="E172" s="636">
        <v>-1209648.3799999999</v>
      </c>
    </row>
    <row r="173" spans="1:5">
      <c r="A173" s="732" t="s">
        <v>1058</v>
      </c>
      <c r="B173" s="31" t="s">
        <v>296</v>
      </c>
      <c r="C173" s="635">
        <v>581528.6399999999</v>
      </c>
      <c r="D173" s="636" t="s">
        <v>549</v>
      </c>
      <c r="E173" s="636">
        <v>740127.3600000001</v>
      </c>
    </row>
    <row r="174" spans="1:5">
      <c r="A174" s="732" t="s">
        <v>633</v>
      </c>
      <c r="B174" s="31" t="s">
        <v>1016</v>
      </c>
      <c r="C174" s="635">
        <v>3764114.3099999996</v>
      </c>
      <c r="D174" s="636" t="s">
        <v>549</v>
      </c>
      <c r="E174" s="635">
        <v>4790690.9400000004</v>
      </c>
    </row>
    <row r="175" spans="1:5">
      <c r="A175" s="732" t="s">
        <v>505</v>
      </c>
      <c r="B175" s="31" t="s">
        <v>1017</v>
      </c>
      <c r="C175" s="635">
        <v>625770.24583333335</v>
      </c>
      <c r="D175" s="636" t="s">
        <v>549</v>
      </c>
      <c r="E175" s="635">
        <v>796434.8583333334</v>
      </c>
    </row>
    <row r="176" spans="1:5">
      <c r="A176" s="732" t="s">
        <v>1059</v>
      </c>
      <c r="B176" s="31" t="s">
        <v>1060</v>
      </c>
      <c r="C176" s="635">
        <v>0</v>
      </c>
      <c r="D176" s="636" t="s">
        <v>549</v>
      </c>
      <c r="E176" s="636">
        <v>0</v>
      </c>
    </row>
    <row r="177" spans="1:6">
      <c r="A177" s="732" t="s">
        <v>1193</v>
      </c>
      <c r="B177" s="31" t="s">
        <v>1194</v>
      </c>
      <c r="C177" s="635">
        <v>87999.999999999985</v>
      </c>
      <c r="D177" s="636" t="s">
        <v>549</v>
      </c>
      <c r="E177" s="636">
        <v>112000.00000000001</v>
      </c>
    </row>
    <row r="178" spans="1:6">
      <c r="A178" s="732" t="s">
        <v>1195</v>
      </c>
      <c r="B178" s="31" t="s">
        <v>1196</v>
      </c>
      <c r="C178" s="635">
        <v>96000</v>
      </c>
      <c r="D178" s="636" t="s">
        <v>549</v>
      </c>
      <c r="E178" s="636">
        <v>104000</v>
      </c>
    </row>
    <row r="179" spans="1:6">
      <c r="A179" s="732"/>
      <c r="B179" s="31"/>
      <c r="D179" s="636"/>
    </row>
    <row r="180" spans="1:6">
      <c r="A180" s="732"/>
      <c r="B180" s="681"/>
      <c r="C180" s="641">
        <f>SUM(C153:C179)</f>
        <v>16615816.034016691</v>
      </c>
      <c r="D180" s="641">
        <f>SUM(D153:D179)</f>
        <v>21835551.867916726</v>
      </c>
      <c r="E180" s="641">
        <f>SUM(E153:E179)</f>
        <v>20742777.188066706</v>
      </c>
    </row>
    <row r="181" spans="1:6">
      <c r="A181" s="732"/>
      <c r="B181" s="31"/>
      <c r="D181" s="636"/>
    </row>
    <row r="182" spans="1:6">
      <c r="A182" s="732" t="s">
        <v>1197</v>
      </c>
      <c r="B182" s="31" t="s">
        <v>1198</v>
      </c>
      <c r="C182" s="635">
        <v>9766090.8548344504</v>
      </c>
      <c r="D182" s="635">
        <v>0</v>
      </c>
      <c r="E182" s="635">
        <v>9991285.6354112271</v>
      </c>
      <c r="F182" s="733">
        <f>VLOOKUP(A182,'Essbase Download'!$A$4:$C$321,3,FALSE)-C182</f>
        <v>0</v>
      </c>
    </row>
    <row r="183" spans="1:6">
      <c r="A183" s="732"/>
      <c r="B183" s="681"/>
      <c r="C183" s="641">
        <f>SUM(C182:C182)</f>
        <v>9766090.8548344504</v>
      </c>
      <c r="D183" s="641">
        <f>SUM(D182:D182)</f>
        <v>0</v>
      </c>
      <c r="E183" s="641">
        <f>SUM(E182:E182)</f>
        <v>9991285.6354112271</v>
      </c>
    </row>
    <row r="184" spans="1:6">
      <c r="A184" s="732"/>
      <c r="B184" s="31"/>
      <c r="D184" s="636"/>
    </row>
    <row r="185" spans="1:6">
      <c r="A185" s="732" t="s">
        <v>102</v>
      </c>
      <c r="B185" s="31" t="s">
        <v>103</v>
      </c>
      <c r="C185" s="635">
        <v>0</v>
      </c>
      <c r="D185" s="636" t="s">
        <v>549</v>
      </c>
      <c r="E185" s="635">
        <v>0</v>
      </c>
    </row>
    <row r="186" spans="1:6">
      <c r="A186" s="732" t="s">
        <v>1173</v>
      </c>
      <c r="B186" s="31" t="s">
        <v>1178</v>
      </c>
      <c r="C186" s="635">
        <v>16800</v>
      </c>
      <c r="D186" s="636" t="s">
        <v>549</v>
      </c>
      <c r="E186" s="635">
        <v>18200</v>
      </c>
    </row>
    <row r="187" spans="1:6">
      <c r="A187" s="732" t="s">
        <v>540</v>
      </c>
      <c r="B187" s="31" t="s">
        <v>92</v>
      </c>
      <c r="C187" s="635">
        <v>120000</v>
      </c>
      <c r="D187" s="636">
        <v>0</v>
      </c>
      <c r="E187" s="635">
        <v>130000</v>
      </c>
    </row>
    <row r="188" spans="1:6">
      <c r="A188" s="732" t="s">
        <v>595</v>
      </c>
      <c r="B188" s="31" t="s">
        <v>295</v>
      </c>
      <c r="C188" s="635">
        <v>0</v>
      </c>
      <c r="D188" s="636" t="s">
        <v>549</v>
      </c>
      <c r="E188" s="635">
        <v>0</v>
      </c>
    </row>
    <row r="189" spans="1:6">
      <c r="A189" s="732" t="s">
        <v>252</v>
      </c>
      <c r="B189" s="31" t="s">
        <v>284</v>
      </c>
      <c r="C189" s="635">
        <v>24000</v>
      </c>
      <c r="D189" s="636">
        <v>0</v>
      </c>
      <c r="E189" s="635">
        <v>26000</v>
      </c>
    </row>
    <row r="190" spans="1:6">
      <c r="A190" s="732" t="s">
        <v>28</v>
      </c>
      <c r="B190" s="31" t="s">
        <v>29</v>
      </c>
      <c r="C190" s="635">
        <v>0</v>
      </c>
      <c r="D190" s="636">
        <v>0</v>
      </c>
      <c r="E190" s="636" t="s">
        <v>549</v>
      </c>
    </row>
    <row r="191" spans="1:6" customFormat="1">
      <c r="A191" s="732" t="s">
        <v>426</v>
      </c>
      <c r="B191" s="663" t="s">
        <v>93</v>
      </c>
      <c r="C191" s="635">
        <v>228000</v>
      </c>
      <c r="D191" s="635">
        <v>0</v>
      </c>
      <c r="E191" s="635">
        <v>247000</v>
      </c>
    </row>
    <row r="192" spans="1:6" customFormat="1">
      <c r="A192" s="732" t="s">
        <v>427</v>
      </c>
      <c r="B192" s="663" t="s">
        <v>104</v>
      </c>
      <c r="C192" s="635">
        <v>38400</v>
      </c>
      <c r="D192" s="636" t="s">
        <v>549</v>
      </c>
      <c r="E192" s="635">
        <v>41600</v>
      </c>
    </row>
    <row r="193" spans="1:5" customFormat="1">
      <c r="A193" s="732"/>
      <c r="B193" s="663"/>
      <c r="C193" s="635"/>
      <c r="D193" s="636"/>
      <c r="E193" s="635"/>
    </row>
    <row r="194" spans="1:5" customFormat="1">
      <c r="A194" s="732" t="s">
        <v>1199</v>
      </c>
      <c r="B194" s="663" t="s">
        <v>1200</v>
      </c>
      <c r="C194" s="635">
        <v>634417.1469340577</v>
      </c>
      <c r="D194" s="636" t="s">
        <v>549</v>
      </c>
      <c r="E194" s="635">
        <v>4160000</v>
      </c>
    </row>
    <row r="195" spans="1:5">
      <c r="A195" s="732"/>
      <c r="B195" s="681"/>
      <c r="C195" s="641">
        <f>SUM(C184:C194)</f>
        <v>1061617.1469340576</v>
      </c>
      <c r="D195" s="641">
        <f>SUM(D184:D194)</f>
        <v>0</v>
      </c>
      <c r="E195" s="641">
        <f>SUM(E184:E194)</f>
        <v>4622800</v>
      </c>
    </row>
    <row r="196" spans="1:5">
      <c r="A196" s="732"/>
      <c r="B196" s="31"/>
      <c r="D196" s="636"/>
    </row>
    <row r="197" spans="1:5">
      <c r="A197" s="732" t="s">
        <v>244</v>
      </c>
      <c r="B197" s="31" t="s">
        <v>416</v>
      </c>
      <c r="C197" s="635">
        <v>236666.36644444446</v>
      </c>
      <c r="D197" s="636" t="s">
        <v>549</v>
      </c>
      <c r="E197" s="636" t="s">
        <v>549</v>
      </c>
    </row>
    <row r="198" spans="1:5">
      <c r="A198" s="732" t="s">
        <v>896</v>
      </c>
      <c r="B198" s="31" t="s">
        <v>417</v>
      </c>
      <c r="C198" s="635">
        <v>2064</v>
      </c>
      <c r="D198" s="636">
        <v>0</v>
      </c>
      <c r="E198" s="635">
        <v>2236</v>
      </c>
    </row>
    <row r="199" spans="1:5">
      <c r="A199" s="732" t="s">
        <v>897</v>
      </c>
      <c r="B199" s="31" t="s">
        <v>419</v>
      </c>
      <c r="C199" s="635">
        <v>0</v>
      </c>
      <c r="D199" s="636">
        <v>0</v>
      </c>
      <c r="E199" s="635">
        <v>0</v>
      </c>
    </row>
    <row r="200" spans="1:5">
      <c r="A200" s="732" t="s">
        <v>898</v>
      </c>
      <c r="B200" s="31" t="s">
        <v>619</v>
      </c>
      <c r="C200" s="635">
        <v>0</v>
      </c>
      <c r="D200" s="636">
        <v>0</v>
      </c>
      <c r="E200" s="635">
        <v>0</v>
      </c>
    </row>
    <row r="201" spans="1:5">
      <c r="A201" s="732" t="s">
        <v>346</v>
      </c>
      <c r="B201" s="31" t="s">
        <v>348</v>
      </c>
      <c r="C201" s="635">
        <v>69600</v>
      </c>
      <c r="D201" s="636" t="s">
        <v>549</v>
      </c>
      <c r="E201" s="635">
        <v>75400</v>
      </c>
    </row>
    <row r="202" spans="1:5">
      <c r="A202" s="732" t="s">
        <v>347</v>
      </c>
      <c r="B202" s="31" t="s">
        <v>349</v>
      </c>
      <c r="C202" s="635">
        <v>5280</v>
      </c>
      <c r="D202" s="636" t="s">
        <v>549</v>
      </c>
      <c r="E202" s="635">
        <v>5720</v>
      </c>
    </row>
    <row r="203" spans="1:5">
      <c r="A203" s="732" t="s">
        <v>899</v>
      </c>
      <c r="B203" s="31" t="s">
        <v>620</v>
      </c>
      <c r="C203" s="635">
        <v>0</v>
      </c>
      <c r="D203" s="636">
        <v>0</v>
      </c>
      <c r="E203" s="635">
        <v>0</v>
      </c>
    </row>
    <row r="204" spans="1:5">
      <c r="A204" s="732" t="s">
        <v>900</v>
      </c>
      <c r="B204" s="31" t="s">
        <v>621</v>
      </c>
      <c r="C204" s="635">
        <v>33600</v>
      </c>
      <c r="D204" s="636">
        <v>0</v>
      </c>
      <c r="E204" s="635">
        <v>36400</v>
      </c>
    </row>
    <row r="205" spans="1:5">
      <c r="A205" s="732" t="s">
        <v>901</v>
      </c>
      <c r="B205" s="31" t="s">
        <v>622</v>
      </c>
      <c r="C205" s="635">
        <v>0</v>
      </c>
      <c r="D205" s="636">
        <v>0</v>
      </c>
      <c r="E205" s="635">
        <v>0</v>
      </c>
    </row>
    <row r="206" spans="1:5">
      <c r="A206" s="732" t="s">
        <v>350</v>
      </c>
      <c r="B206" s="31" t="s">
        <v>355</v>
      </c>
      <c r="C206" s="635">
        <v>7200</v>
      </c>
      <c r="D206" s="636" t="s">
        <v>549</v>
      </c>
      <c r="E206" s="635">
        <v>7800</v>
      </c>
    </row>
    <row r="207" spans="1:5">
      <c r="A207" s="732" t="s">
        <v>351</v>
      </c>
      <c r="B207" s="31" t="s">
        <v>356</v>
      </c>
      <c r="C207" s="635">
        <v>7200</v>
      </c>
      <c r="D207" s="636" t="s">
        <v>549</v>
      </c>
      <c r="E207" s="635">
        <v>7800</v>
      </c>
    </row>
    <row r="208" spans="1:5">
      <c r="A208" s="732" t="s">
        <v>352</v>
      </c>
      <c r="B208" s="31" t="s">
        <v>357</v>
      </c>
      <c r="C208" s="635">
        <v>22080</v>
      </c>
      <c r="D208" s="636" t="s">
        <v>549</v>
      </c>
      <c r="E208" s="635">
        <v>23920</v>
      </c>
    </row>
    <row r="209" spans="1:5">
      <c r="A209" s="732" t="s">
        <v>353</v>
      </c>
      <c r="B209" s="31" t="s">
        <v>358</v>
      </c>
      <c r="C209" s="635">
        <v>24000</v>
      </c>
      <c r="D209" s="636" t="s">
        <v>549</v>
      </c>
      <c r="E209" s="635">
        <v>26000</v>
      </c>
    </row>
    <row r="210" spans="1:5">
      <c r="A210" s="732" t="s">
        <v>354</v>
      </c>
      <c r="B210" s="31" t="s">
        <v>359</v>
      </c>
      <c r="C210" s="635">
        <v>23520</v>
      </c>
      <c r="D210" s="636" t="s">
        <v>549</v>
      </c>
      <c r="E210" s="635">
        <v>25480</v>
      </c>
    </row>
    <row r="211" spans="1:5">
      <c r="A211" s="732" t="s">
        <v>902</v>
      </c>
      <c r="B211" s="31" t="s">
        <v>623</v>
      </c>
      <c r="C211" s="635">
        <v>26400</v>
      </c>
      <c r="D211" s="636">
        <v>0</v>
      </c>
      <c r="E211" s="635">
        <v>28600</v>
      </c>
    </row>
    <row r="212" spans="1:5">
      <c r="A212" s="732" t="s">
        <v>903</v>
      </c>
      <c r="B212" s="31" t="s">
        <v>624</v>
      </c>
      <c r="C212" s="635">
        <v>21600</v>
      </c>
      <c r="D212" s="636">
        <v>0</v>
      </c>
      <c r="E212" s="635">
        <v>23400</v>
      </c>
    </row>
    <row r="213" spans="1:5">
      <c r="A213" s="732" t="s">
        <v>904</v>
      </c>
      <c r="B213" s="31" t="s">
        <v>625</v>
      </c>
      <c r="C213" s="635">
        <v>0</v>
      </c>
      <c r="D213" s="636">
        <v>0</v>
      </c>
      <c r="E213" s="635">
        <v>0</v>
      </c>
    </row>
    <row r="214" spans="1:5">
      <c r="A214" s="732" t="s">
        <v>905</v>
      </c>
      <c r="B214" s="31" t="s">
        <v>626</v>
      </c>
      <c r="C214" s="635">
        <v>36000</v>
      </c>
      <c r="D214" s="636">
        <v>0</v>
      </c>
      <c r="E214" s="635">
        <v>39000</v>
      </c>
    </row>
    <row r="215" spans="1:5">
      <c r="A215" s="732" t="s">
        <v>906</v>
      </c>
      <c r="B215" s="31" t="s">
        <v>418</v>
      </c>
      <c r="C215" s="635">
        <v>-46672.810768514348</v>
      </c>
      <c r="D215" s="636">
        <v>0</v>
      </c>
      <c r="E215" s="635">
        <v>205826.34999999998</v>
      </c>
    </row>
    <row r="216" spans="1:5">
      <c r="A216" s="732" t="s">
        <v>245</v>
      </c>
      <c r="B216" s="31" t="s">
        <v>1128</v>
      </c>
      <c r="C216" s="635">
        <v>281742.94468888891</v>
      </c>
      <c r="D216" s="636" t="s">
        <v>549</v>
      </c>
      <c r="E216" s="636" t="s">
        <v>549</v>
      </c>
    </row>
    <row r="217" spans="1:5">
      <c r="A217" s="732" t="s">
        <v>907</v>
      </c>
      <c r="B217" s="31" t="s">
        <v>420</v>
      </c>
      <c r="C217" s="635">
        <v>1440</v>
      </c>
      <c r="D217" s="636">
        <v>0</v>
      </c>
      <c r="E217" s="635">
        <v>1560</v>
      </c>
    </row>
    <row r="218" spans="1:5">
      <c r="A218" s="732" t="s">
        <v>908</v>
      </c>
      <c r="B218" s="31" t="s">
        <v>421</v>
      </c>
      <c r="C218" s="635">
        <v>-26459.091207665391</v>
      </c>
      <c r="D218" s="635">
        <v>0</v>
      </c>
      <c r="E218" s="635">
        <v>276557.51</v>
      </c>
    </row>
    <row r="219" spans="1:5" customFormat="1">
      <c r="A219" s="732" t="s">
        <v>422</v>
      </c>
      <c r="B219" s="663" t="s">
        <v>94</v>
      </c>
      <c r="C219" s="635">
        <v>33120</v>
      </c>
      <c r="D219" s="635">
        <v>0</v>
      </c>
      <c r="E219" s="635">
        <v>35880</v>
      </c>
    </row>
    <row r="220" spans="1:5" customFormat="1">
      <c r="A220" s="732" t="s">
        <v>1119</v>
      </c>
      <c r="B220" s="663" t="s">
        <v>1120</v>
      </c>
      <c r="C220" s="635">
        <v>20784</v>
      </c>
      <c r="D220" s="636" t="s">
        <v>549</v>
      </c>
      <c r="E220" s="635">
        <v>22516</v>
      </c>
    </row>
    <row r="221" spans="1:5" customFormat="1">
      <c r="A221" s="732" t="s">
        <v>423</v>
      </c>
      <c r="B221" s="663" t="s">
        <v>246</v>
      </c>
      <c r="C221" s="635">
        <v>54240</v>
      </c>
      <c r="D221" s="635">
        <v>0</v>
      </c>
      <c r="E221" s="635">
        <v>58760</v>
      </c>
    </row>
    <row r="222" spans="1:5" customFormat="1">
      <c r="A222" s="732" t="s">
        <v>424</v>
      </c>
      <c r="B222" s="663" t="s">
        <v>425</v>
      </c>
      <c r="C222" s="635">
        <v>45120</v>
      </c>
      <c r="D222" s="636" t="s">
        <v>549</v>
      </c>
      <c r="E222" s="635">
        <v>48880</v>
      </c>
    </row>
    <row r="223" spans="1:5" customFormat="1">
      <c r="A223" s="732" t="s">
        <v>1121</v>
      </c>
      <c r="B223" s="663" t="s">
        <v>1138</v>
      </c>
      <c r="C223" s="635">
        <v>0</v>
      </c>
      <c r="D223" s="636" t="s">
        <v>549</v>
      </c>
      <c r="E223" s="635">
        <v>0</v>
      </c>
    </row>
    <row r="224" spans="1:5" customFormat="1">
      <c r="A224" s="732" t="s">
        <v>1122</v>
      </c>
      <c r="B224" s="663" t="s">
        <v>1123</v>
      </c>
      <c r="C224" s="635">
        <v>0</v>
      </c>
      <c r="D224" s="636" t="s">
        <v>549</v>
      </c>
      <c r="E224" s="635">
        <v>0</v>
      </c>
    </row>
    <row r="225" spans="1:5">
      <c r="A225" s="732" t="s">
        <v>247</v>
      </c>
      <c r="B225" s="31" t="s">
        <v>428</v>
      </c>
      <c r="C225" s="635">
        <v>687348.28428611113</v>
      </c>
      <c r="D225" s="636" t="s">
        <v>549</v>
      </c>
      <c r="E225" s="636" t="s">
        <v>549</v>
      </c>
    </row>
    <row r="226" spans="1:5">
      <c r="A226" s="732" t="s">
        <v>909</v>
      </c>
      <c r="B226" s="31" t="s">
        <v>429</v>
      </c>
      <c r="C226" s="635">
        <v>1920</v>
      </c>
      <c r="D226" s="636">
        <v>0</v>
      </c>
      <c r="E226" s="635">
        <v>2080</v>
      </c>
    </row>
    <row r="227" spans="1:5">
      <c r="A227" s="732" t="s">
        <v>910</v>
      </c>
      <c r="B227" s="31" t="s">
        <v>911</v>
      </c>
      <c r="C227" s="635">
        <v>41760</v>
      </c>
      <c r="D227" s="636">
        <v>0</v>
      </c>
      <c r="E227" s="635">
        <v>45240</v>
      </c>
    </row>
    <row r="228" spans="1:5">
      <c r="A228" s="732" t="s">
        <v>912</v>
      </c>
      <c r="B228" s="31" t="s">
        <v>430</v>
      </c>
      <c r="C228" s="635">
        <v>-281027.41076851427</v>
      </c>
      <c r="D228" s="636">
        <v>0</v>
      </c>
      <c r="E228" s="635">
        <v>440180.94999999995</v>
      </c>
    </row>
    <row r="229" spans="1:5">
      <c r="A229" s="732"/>
      <c r="B229" s="31"/>
      <c r="D229" s="636"/>
    </row>
    <row r="230" spans="1:5">
      <c r="A230" s="732" t="s">
        <v>1217</v>
      </c>
      <c r="B230" s="31" t="s">
        <v>1218</v>
      </c>
      <c r="C230" s="635">
        <v>89826.938878818677</v>
      </c>
      <c r="D230" s="636" t="s">
        <v>549</v>
      </c>
      <c r="E230" s="635">
        <v>130000</v>
      </c>
    </row>
    <row r="231" spans="1:5">
      <c r="A231" s="732"/>
      <c r="B231" s="681"/>
      <c r="C231" s="641">
        <f>SUM(C197:C230)</f>
        <v>1418353.2215535692</v>
      </c>
      <c r="D231" s="641">
        <f t="shared" ref="D231:E231" si="1">SUM(D197:D230)</f>
        <v>0</v>
      </c>
      <c r="E231" s="641">
        <f t="shared" si="1"/>
        <v>1569236.81</v>
      </c>
    </row>
    <row r="232" spans="1:5">
      <c r="A232" s="732"/>
      <c r="B232" s="31"/>
      <c r="D232" s="636"/>
    </row>
    <row r="233" spans="1:5">
      <c r="A233" s="732" t="s">
        <v>627</v>
      </c>
      <c r="B233" s="31" t="s">
        <v>1129</v>
      </c>
      <c r="C233" s="635">
        <v>264342.4040888889</v>
      </c>
      <c r="D233" s="636" t="s">
        <v>549</v>
      </c>
      <c r="E233" s="636" t="s">
        <v>549</v>
      </c>
    </row>
    <row r="234" spans="1:5">
      <c r="A234" s="732" t="s">
        <v>823</v>
      </c>
      <c r="B234" s="31" t="s">
        <v>385</v>
      </c>
      <c r="C234" s="635">
        <v>52500</v>
      </c>
      <c r="D234" s="636" t="s">
        <v>549</v>
      </c>
      <c r="E234" s="636" t="s">
        <v>549</v>
      </c>
    </row>
    <row r="235" spans="1:5">
      <c r="A235" s="732" t="s">
        <v>824</v>
      </c>
      <c r="B235" s="31" t="s">
        <v>386</v>
      </c>
      <c r="C235" s="635">
        <v>-316842.40408888878</v>
      </c>
      <c r="D235" s="635">
        <v>0</v>
      </c>
      <c r="E235" s="635">
        <v>0</v>
      </c>
    </row>
    <row r="236" spans="1:5" customFormat="1">
      <c r="A236" s="732" t="s">
        <v>387</v>
      </c>
      <c r="B236" s="663" t="s">
        <v>388</v>
      </c>
      <c r="C236" s="635">
        <v>416365.23103333334</v>
      </c>
      <c r="D236" s="636" t="s">
        <v>549</v>
      </c>
      <c r="E236" s="636" t="s">
        <v>549</v>
      </c>
    </row>
    <row r="237" spans="1:5" customFormat="1">
      <c r="A237" s="732" t="s">
        <v>389</v>
      </c>
      <c r="B237" s="663" t="s">
        <v>390</v>
      </c>
      <c r="C237" s="635">
        <v>3100</v>
      </c>
      <c r="D237" s="636" t="s">
        <v>549</v>
      </c>
      <c r="E237" s="636" t="s">
        <v>549</v>
      </c>
    </row>
    <row r="238" spans="1:5" customFormat="1">
      <c r="A238" s="732" t="s">
        <v>391</v>
      </c>
      <c r="B238" s="663" t="s">
        <v>392</v>
      </c>
      <c r="C238" s="635">
        <v>-419465.23103333358</v>
      </c>
      <c r="D238" s="636" t="s">
        <v>549</v>
      </c>
      <c r="E238" s="635">
        <v>0</v>
      </c>
    </row>
    <row r="239" spans="1:5" customFormat="1">
      <c r="A239" s="732" t="s">
        <v>1035</v>
      </c>
      <c r="B239" s="663" t="s">
        <v>1036</v>
      </c>
      <c r="C239" s="635">
        <v>0</v>
      </c>
      <c r="D239" s="636" t="s">
        <v>549</v>
      </c>
      <c r="E239" s="636" t="s">
        <v>549</v>
      </c>
    </row>
    <row r="240" spans="1:5" customFormat="1">
      <c r="A240" s="732" t="s">
        <v>1037</v>
      </c>
      <c r="B240" s="663" t="s">
        <v>1038</v>
      </c>
      <c r="C240" s="635">
        <v>0</v>
      </c>
      <c r="D240" s="636" t="s">
        <v>549</v>
      </c>
      <c r="E240" s="636">
        <v>0</v>
      </c>
    </row>
    <row r="241" spans="1:5">
      <c r="A241" s="732" t="s">
        <v>999</v>
      </c>
      <c r="B241" s="31" t="s">
        <v>1130</v>
      </c>
      <c r="C241" s="635">
        <v>139325.19722222222</v>
      </c>
      <c r="D241" s="636" t="s">
        <v>549</v>
      </c>
      <c r="E241" s="635">
        <v>0</v>
      </c>
    </row>
    <row r="242" spans="1:5">
      <c r="A242" s="732" t="s">
        <v>1000</v>
      </c>
      <c r="B242" s="31" t="s">
        <v>95</v>
      </c>
      <c r="C242" s="635">
        <v>-139325.19722222222</v>
      </c>
      <c r="D242" s="636">
        <v>0</v>
      </c>
      <c r="E242" s="635">
        <v>0</v>
      </c>
    </row>
    <row r="243" spans="1:5">
      <c r="A243" s="732" t="s">
        <v>1001</v>
      </c>
      <c r="B243" s="31" t="s">
        <v>1002</v>
      </c>
      <c r="C243" s="635">
        <v>0</v>
      </c>
      <c r="D243" s="636">
        <v>0</v>
      </c>
      <c r="E243" s="635">
        <v>0</v>
      </c>
    </row>
    <row r="244" spans="1:5">
      <c r="A244" s="732" t="s">
        <v>115</v>
      </c>
      <c r="B244" s="31" t="s">
        <v>116</v>
      </c>
      <c r="C244" s="635">
        <v>0</v>
      </c>
      <c r="D244" s="636" t="s">
        <v>549</v>
      </c>
      <c r="E244" s="636" t="s">
        <v>549</v>
      </c>
    </row>
    <row r="245" spans="1:5">
      <c r="A245" s="732" t="s">
        <v>117</v>
      </c>
      <c r="B245" s="31" t="s">
        <v>118</v>
      </c>
      <c r="C245" s="635">
        <v>0</v>
      </c>
      <c r="D245" s="636" t="s">
        <v>549</v>
      </c>
      <c r="E245" s="636" t="s">
        <v>549</v>
      </c>
    </row>
    <row r="246" spans="1:5">
      <c r="A246" s="732" t="s">
        <v>119</v>
      </c>
      <c r="B246" s="31" t="s">
        <v>120</v>
      </c>
      <c r="C246" s="635">
        <v>0</v>
      </c>
      <c r="D246" s="636" t="s">
        <v>549</v>
      </c>
      <c r="E246" s="635">
        <v>0</v>
      </c>
    </row>
    <row r="247" spans="1:5">
      <c r="A247" s="732" t="s">
        <v>121</v>
      </c>
      <c r="B247" s="31" t="s">
        <v>463</v>
      </c>
      <c r="C247" s="635">
        <v>0</v>
      </c>
      <c r="D247" s="636" t="s">
        <v>549</v>
      </c>
      <c r="E247" s="636" t="s">
        <v>549</v>
      </c>
    </row>
    <row r="248" spans="1:5">
      <c r="A248" s="732" t="s">
        <v>122</v>
      </c>
      <c r="B248" s="31" t="s">
        <v>464</v>
      </c>
      <c r="C248" s="635">
        <v>0</v>
      </c>
      <c r="D248" s="636" t="s">
        <v>549</v>
      </c>
      <c r="E248" s="635">
        <v>0</v>
      </c>
    </row>
    <row r="249" spans="1:5">
      <c r="A249" s="732" t="s">
        <v>630</v>
      </c>
      <c r="B249" s="31" t="s">
        <v>1131</v>
      </c>
      <c r="C249" s="635">
        <v>542399.52351111104</v>
      </c>
      <c r="D249" s="636" t="s">
        <v>549</v>
      </c>
      <c r="E249" s="636" t="s">
        <v>549</v>
      </c>
    </row>
    <row r="250" spans="1:5">
      <c r="A250" s="732" t="s">
        <v>922</v>
      </c>
      <c r="B250" s="31" t="s">
        <v>409</v>
      </c>
      <c r="C250" s="635">
        <v>10000</v>
      </c>
      <c r="D250" s="636" t="s">
        <v>549</v>
      </c>
      <c r="E250" s="636" t="s">
        <v>549</v>
      </c>
    </row>
    <row r="251" spans="1:5">
      <c r="A251" s="732" t="s">
        <v>923</v>
      </c>
      <c r="B251" s="31" t="s">
        <v>410</v>
      </c>
      <c r="C251" s="635">
        <v>-602399.52351111092</v>
      </c>
      <c r="D251" s="636">
        <v>0</v>
      </c>
      <c r="E251" s="635">
        <v>0</v>
      </c>
    </row>
    <row r="252" spans="1:5">
      <c r="A252" s="732" t="s">
        <v>344</v>
      </c>
      <c r="B252" s="31" t="s">
        <v>345</v>
      </c>
      <c r="C252" s="635">
        <v>0</v>
      </c>
      <c r="D252" s="636" t="s">
        <v>549</v>
      </c>
      <c r="E252" s="635">
        <v>0</v>
      </c>
    </row>
    <row r="253" spans="1:5">
      <c r="A253" s="732" t="s">
        <v>113</v>
      </c>
      <c r="B253" s="31" t="s">
        <v>411</v>
      </c>
      <c r="C253" s="635">
        <v>50000</v>
      </c>
      <c r="D253" s="636" t="s">
        <v>549</v>
      </c>
      <c r="E253" s="635">
        <v>0</v>
      </c>
    </row>
    <row r="254" spans="1:5">
      <c r="A254" s="732" t="s">
        <v>1039</v>
      </c>
      <c r="B254" s="31" t="s">
        <v>1132</v>
      </c>
      <c r="C254" s="635">
        <v>0</v>
      </c>
      <c r="D254" s="636" t="s">
        <v>549</v>
      </c>
      <c r="E254" s="636" t="s">
        <v>549</v>
      </c>
    </row>
    <row r="255" spans="1:5">
      <c r="A255" s="732" t="s">
        <v>242</v>
      </c>
      <c r="B255" s="31" t="s">
        <v>470</v>
      </c>
      <c r="C255" s="635">
        <v>0</v>
      </c>
      <c r="D255" s="636" t="s">
        <v>549</v>
      </c>
      <c r="E255" s="635">
        <v>0</v>
      </c>
    </row>
    <row r="256" spans="1:5">
      <c r="A256" s="732" t="s">
        <v>1003</v>
      </c>
      <c r="B256" s="31" t="s">
        <v>471</v>
      </c>
      <c r="C256" s="635">
        <v>0</v>
      </c>
      <c r="D256" s="636" t="s">
        <v>549</v>
      </c>
      <c r="E256" s="635">
        <v>0</v>
      </c>
    </row>
    <row r="257" spans="1:5">
      <c r="A257" s="732" t="s">
        <v>243</v>
      </c>
      <c r="B257" s="31" t="s">
        <v>1133</v>
      </c>
      <c r="C257" s="635">
        <v>57606.232222222221</v>
      </c>
      <c r="D257" s="636" t="s">
        <v>549</v>
      </c>
      <c r="E257" s="636" t="s">
        <v>549</v>
      </c>
    </row>
    <row r="258" spans="1:5">
      <c r="A258" s="732" t="s">
        <v>894</v>
      </c>
      <c r="B258" s="31" t="s">
        <v>414</v>
      </c>
      <c r="C258" s="635">
        <v>12500</v>
      </c>
      <c r="D258" s="636" t="s">
        <v>549</v>
      </c>
      <c r="E258" s="636" t="s">
        <v>549</v>
      </c>
    </row>
    <row r="259" spans="1:5">
      <c r="A259" s="732" t="s">
        <v>895</v>
      </c>
      <c r="B259" s="31" t="s">
        <v>415</v>
      </c>
      <c r="C259" s="635">
        <v>-70106.232222222257</v>
      </c>
      <c r="D259" s="636">
        <v>0</v>
      </c>
      <c r="E259" s="635">
        <v>0</v>
      </c>
    </row>
    <row r="260" spans="1:5">
      <c r="A260" s="732" t="s">
        <v>496</v>
      </c>
      <c r="B260" s="31" t="s">
        <v>432</v>
      </c>
      <c r="C260" s="635">
        <v>236254.10004444447</v>
      </c>
      <c r="D260" s="636" t="s">
        <v>549</v>
      </c>
      <c r="E260" s="636" t="s">
        <v>549</v>
      </c>
    </row>
    <row r="261" spans="1:5">
      <c r="A261" s="732" t="s">
        <v>498</v>
      </c>
      <c r="B261" s="31" t="s">
        <v>433</v>
      </c>
      <c r="C261" s="635">
        <v>8154</v>
      </c>
      <c r="D261" s="635">
        <v>0</v>
      </c>
      <c r="E261" s="635">
        <v>0</v>
      </c>
    </row>
    <row r="262" spans="1:5">
      <c r="A262" s="732" t="s">
        <v>497</v>
      </c>
      <c r="B262" s="31" t="s">
        <v>434</v>
      </c>
      <c r="C262" s="635">
        <v>-244408.10004444444</v>
      </c>
      <c r="D262" s="635">
        <v>0</v>
      </c>
      <c r="E262" s="635">
        <v>0</v>
      </c>
    </row>
    <row r="263" spans="1:5">
      <c r="A263" s="732" t="s">
        <v>23</v>
      </c>
      <c r="B263" s="31" t="s">
        <v>467</v>
      </c>
      <c r="C263" s="635">
        <v>0</v>
      </c>
      <c r="D263" s="636" t="s">
        <v>549</v>
      </c>
      <c r="E263" s="636" t="s">
        <v>549</v>
      </c>
    </row>
    <row r="264" spans="1:5">
      <c r="A264" s="732" t="s">
        <v>240</v>
      </c>
      <c r="B264" s="31" t="s">
        <v>468</v>
      </c>
      <c r="C264" s="635">
        <v>0</v>
      </c>
      <c r="D264" s="635">
        <v>0</v>
      </c>
      <c r="E264" s="635">
        <v>0</v>
      </c>
    </row>
    <row r="265" spans="1:5">
      <c r="A265" s="732" t="s">
        <v>241</v>
      </c>
      <c r="B265" s="31" t="s">
        <v>469</v>
      </c>
      <c r="C265" s="635">
        <v>0</v>
      </c>
      <c r="D265" s="635">
        <v>0</v>
      </c>
      <c r="E265" s="635">
        <v>0</v>
      </c>
    </row>
    <row r="266" spans="1:5" customFormat="1">
      <c r="A266" s="732" t="s">
        <v>450</v>
      </c>
      <c r="B266" s="663" t="s">
        <v>451</v>
      </c>
      <c r="C266" s="635">
        <v>663140.75073333341</v>
      </c>
      <c r="D266" s="636" t="s">
        <v>549</v>
      </c>
      <c r="E266" s="636" t="s">
        <v>549</v>
      </c>
    </row>
    <row r="267" spans="1:5" customFormat="1">
      <c r="A267" s="732" t="s">
        <v>452</v>
      </c>
      <c r="B267" s="663" t="s">
        <v>453</v>
      </c>
      <c r="C267" s="635">
        <v>1950</v>
      </c>
      <c r="D267" s="635">
        <v>0</v>
      </c>
      <c r="E267" s="635">
        <v>0</v>
      </c>
    </row>
    <row r="268" spans="1:5" customFormat="1">
      <c r="A268" s="732" t="s">
        <v>454</v>
      </c>
      <c r="B268" s="663" t="s">
        <v>455</v>
      </c>
      <c r="C268" s="635">
        <v>1086905.6061896812</v>
      </c>
      <c r="D268" s="635">
        <v>0</v>
      </c>
      <c r="E268" s="635">
        <v>0</v>
      </c>
    </row>
    <row r="269" spans="1:5">
      <c r="A269" s="732" t="s">
        <v>0</v>
      </c>
      <c r="B269" s="31" t="s">
        <v>1</v>
      </c>
      <c r="C269" s="635">
        <v>0</v>
      </c>
      <c r="D269" s="636" t="s">
        <v>549</v>
      </c>
      <c r="E269" s="635">
        <v>0</v>
      </c>
    </row>
    <row r="270" spans="1:5">
      <c r="A270" s="732" t="s">
        <v>2</v>
      </c>
      <c r="B270" s="31" t="s">
        <v>3</v>
      </c>
      <c r="C270" s="635">
        <v>0</v>
      </c>
      <c r="D270" s="636" t="s">
        <v>549</v>
      </c>
      <c r="E270" s="635">
        <v>0</v>
      </c>
    </row>
    <row r="271" spans="1:5" customFormat="1">
      <c r="A271" s="732" t="s">
        <v>456</v>
      </c>
      <c r="B271" s="663" t="s">
        <v>457</v>
      </c>
      <c r="C271" s="635">
        <v>-1751996.3569230146</v>
      </c>
      <c r="D271" s="636" t="s">
        <v>549</v>
      </c>
      <c r="E271" s="635">
        <v>0</v>
      </c>
    </row>
    <row r="272" spans="1:5" customFormat="1">
      <c r="A272" s="732" t="s">
        <v>4</v>
      </c>
      <c r="B272" s="31" t="s">
        <v>5</v>
      </c>
      <c r="C272" s="635">
        <v>1025916.5524548069</v>
      </c>
      <c r="D272" s="636" t="s">
        <v>549</v>
      </c>
      <c r="E272" s="636" t="s">
        <v>549</v>
      </c>
    </row>
    <row r="273" spans="1:5" customFormat="1">
      <c r="A273" s="732" t="s">
        <v>6</v>
      </c>
      <c r="B273" s="31" t="s">
        <v>7</v>
      </c>
      <c r="C273" s="635">
        <v>101000</v>
      </c>
      <c r="D273" s="636" t="s">
        <v>549</v>
      </c>
      <c r="E273" s="636" t="s">
        <v>549</v>
      </c>
    </row>
    <row r="274" spans="1:5" customFormat="1">
      <c r="A274" s="732" t="s">
        <v>8</v>
      </c>
      <c r="B274" s="31" t="s">
        <v>9</v>
      </c>
      <c r="C274" s="635">
        <v>-1166916.5524548073</v>
      </c>
      <c r="D274" s="636">
        <v>0</v>
      </c>
      <c r="E274" s="635">
        <v>0</v>
      </c>
    </row>
    <row r="275" spans="1:5" customFormat="1">
      <c r="A275" s="732" t="s">
        <v>10</v>
      </c>
      <c r="B275" s="31" t="s">
        <v>11</v>
      </c>
      <c r="C275" s="635">
        <v>40000</v>
      </c>
      <c r="D275" s="636" t="s">
        <v>549</v>
      </c>
      <c r="E275" s="635">
        <v>0</v>
      </c>
    </row>
    <row r="276" spans="1:5" customFormat="1">
      <c r="A276" s="732" t="s">
        <v>1189</v>
      </c>
      <c r="B276" s="31" t="s">
        <v>1190</v>
      </c>
      <c r="C276" s="635">
        <v>336152.32504444447</v>
      </c>
      <c r="D276" s="636" t="s">
        <v>549</v>
      </c>
      <c r="E276" s="636" t="s">
        <v>549</v>
      </c>
    </row>
    <row r="277" spans="1:5" customFormat="1">
      <c r="A277" s="732" t="s">
        <v>1191</v>
      </c>
      <c r="B277" s="31" t="s">
        <v>1192</v>
      </c>
      <c r="C277" s="635">
        <v>-336152.32504444447</v>
      </c>
      <c r="D277" s="636" t="s">
        <v>549</v>
      </c>
      <c r="E277" s="635">
        <v>0</v>
      </c>
    </row>
    <row r="278" spans="1:5" customFormat="1">
      <c r="A278" s="732"/>
      <c r="C278" s="635"/>
      <c r="D278" s="636"/>
      <c r="E278" s="635"/>
    </row>
    <row r="279" spans="1:5" customFormat="1">
      <c r="A279" s="732" t="s">
        <v>402</v>
      </c>
      <c r="B279" s="31" t="s">
        <v>403</v>
      </c>
      <c r="C279" s="635">
        <v>343242.37820000004</v>
      </c>
      <c r="D279" s="636" t="s">
        <v>549</v>
      </c>
      <c r="E279" s="636" t="s">
        <v>549</v>
      </c>
    </row>
    <row r="280" spans="1:5" customFormat="1">
      <c r="A280" s="732" t="s">
        <v>1033</v>
      </c>
      <c r="B280" s="31" t="s">
        <v>1034</v>
      </c>
      <c r="C280" s="635">
        <v>3100</v>
      </c>
      <c r="D280" s="636" t="s">
        <v>549</v>
      </c>
      <c r="E280" s="636" t="s">
        <v>549</v>
      </c>
    </row>
    <row r="281" spans="1:5" customFormat="1">
      <c r="A281" s="732" t="s">
        <v>404</v>
      </c>
      <c r="B281" s="31" t="s">
        <v>405</v>
      </c>
      <c r="C281" s="635">
        <v>-220258.36003229395</v>
      </c>
      <c r="D281" s="636" t="s">
        <v>549</v>
      </c>
      <c r="E281" s="635">
        <v>244924.36000000002</v>
      </c>
    </row>
    <row r="282" spans="1:5" customFormat="1">
      <c r="A282" s="732" t="s">
        <v>406</v>
      </c>
      <c r="B282" s="31" t="s">
        <v>407</v>
      </c>
      <c r="C282" s="635">
        <v>100000</v>
      </c>
      <c r="D282" s="636" t="s">
        <v>549</v>
      </c>
      <c r="E282" s="636" t="s">
        <v>549</v>
      </c>
    </row>
    <row r="283" spans="1:5">
      <c r="A283" s="732" t="s">
        <v>628</v>
      </c>
      <c r="B283" s="31" t="s">
        <v>1134</v>
      </c>
      <c r="C283" s="635">
        <v>0</v>
      </c>
      <c r="D283" s="636" t="s">
        <v>549</v>
      </c>
      <c r="E283" s="636" t="s">
        <v>549</v>
      </c>
    </row>
    <row r="284" spans="1:5">
      <c r="A284" s="732" t="s">
        <v>825</v>
      </c>
      <c r="B284" s="31" t="s">
        <v>465</v>
      </c>
      <c r="C284" s="635">
        <v>0</v>
      </c>
      <c r="D284" s="636">
        <v>0</v>
      </c>
      <c r="E284" s="635">
        <v>0</v>
      </c>
    </row>
    <row r="285" spans="1:5">
      <c r="A285" s="732" t="s">
        <v>826</v>
      </c>
      <c r="B285" s="31" t="s">
        <v>393</v>
      </c>
      <c r="C285" s="635">
        <v>1124123.8446214013</v>
      </c>
      <c r="D285" s="636">
        <v>0</v>
      </c>
      <c r="E285" s="635">
        <v>1217800.83</v>
      </c>
    </row>
    <row r="286" spans="1:5">
      <c r="A286" s="732" t="s">
        <v>629</v>
      </c>
      <c r="B286" s="31" t="s">
        <v>1135</v>
      </c>
      <c r="C286" s="635">
        <v>153903.70224444446</v>
      </c>
      <c r="D286" s="636" t="s">
        <v>549</v>
      </c>
      <c r="E286" s="636" t="s">
        <v>549</v>
      </c>
    </row>
    <row r="287" spans="1:5">
      <c r="A287" s="732" t="s">
        <v>872</v>
      </c>
      <c r="B287" s="31" t="s">
        <v>400</v>
      </c>
      <c r="C287" s="635">
        <v>2616</v>
      </c>
      <c r="D287" s="636">
        <v>0</v>
      </c>
      <c r="E287" s="635">
        <v>2834</v>
      </c>
    </row>
    <row r="288" spans="1:5">
      <c r="A288" s="732" t="s">
        <v>873</v>
      </c>
      <c r="B288" s="31" t="s">
        <v>401</v>
      </c>
      <c r="C288" s="635">
        <v>97565.269515590742</v>
      </c>
      <c r="D288" s="636">
        <v>0</v>
      </c>
      <c r="E288" s="635">
        <v>272424.73</v>
      </c>
    </row>
    <row r="289" spans="1:6">
      <c r="A289" s="732" t="s">
        <v>920</v>
      </c>
      <c r="B289" s="31" t="s">
        <v>1136</v>
      </c>
      <c r="C289" s="635">
        <v>0</v>
      </c>
      <c r="D289" s="636" t="s">
        <v>549</v>
      </c>
      <c r="E289" s="636" t="s">
        <v>549</v>
      </c>
    </row>
    <row r="290" spans="1:6">
      <c r="A290" s="732" t="s">
        <v>921</v>
      </c>
      <c r="B290" s="31" t="s">
        <v>466</v>
      </c>
      <c r="C290" s="635">
        <v>0</v>
      </c>
      <c r="D290" s="636">
        <v>0</v>
      </c>
      <c r="E290" s="636" t="s">
        <v>549</v>
      </c>
    </row>
    <row r="291" spans="1:6">
      <c r="A291" s="732" t="s">
        <v>919</v>
      </c>
      <c r="B291" s="31" t="s">
        <v>98</v>
      </c>
      <c r="C291" s="635">
        <v>0</v>
      </c>
      <c r="D291" s="636">
        <v>0</v>
      </c>
      <c r="E291" s="635">
        <v>0</v>
      </c>
    </row>
    <row r="292" spans="1:6">
      <c r="A292" s="732" t="s">
        <v>827</v>
      </c>
      <c r="B292" s="31" t="s">
        <v>681</v>
      </c>
      <c r="C292" s="635">
        <v>0</v>
      </c>
      <c r="D292" s="636">
        <v>0</v>
      </c>
      <c r="E292" s="635">
        <v>0</v>
      </c>
    </row>
    <row r="293" spans="1:6">
      <c r="A293" s="732" t="s">
        <v>1027</v>
      </c>
      <c r="B293" s="31" t="s">
        <v>1028</v>
      </c>
      <c r="C293" s="635">
        <v>0</v>
      </c>
      <c r="D293" s="636" t="s">
        <v>549</v>
      </c>
      <c r="E293" s="635">
        <v>0</v>
      </c>
    </row>
    <row r="294" spans="1:6">
      <c r="A294" s="732" t="s">
        <v>1142</v>
      </c>
      <c r="B294" s="31" t="s">
        <v>1143</v>
      </c>
      <c r="C294" s="635">
        <v>0</v>
      </c>
      <c r="D294" s="636" t="s">
        <v>549</v>
      </c>
      <c r="E294" s="635">
        <v>0</v>
      </c>
      <c r="F294" s="685"/>
    </row>
    <row r="295" spans="1:6">
      <c r="A295" s="732" t="s">
        <v>24</v>
      </c>
      <c r="B295" s="31" t="s">
        <v>1103</v>
      </c>
      <c r="C295" s="635">
        <v>24000</v>
      </c>
      <c r="D295" s="636">
        <v>0</v>
      </c>
      <c r="E295" s="635">
        <v>26000</v>
      </c>
    </row>
    <row r="296" spans="1:6">
      <c r="A296" s="732"/>
      <c r="D296" s="636"/>
      <c r="E296" s="636"/>
    </row>
    <row r="297" spans="1:6">
      <c r="A297" s="732" t="s">
        <v>924</v>
      </c>
      <c r="B297" s="31" t="s">
        <v>413</v>
      </c>
      <c r="C297" s="635">
        <v>189137.43899766903</v>
      </c>
      <c r="D297" s="636">
        <v>0</v>
      </c>
      <c r="E297" s="635">
        <v>204898.89</v>
      </c>
    </row>
    <row r="298" spans="1:6">
      <c r="A298" s="732" t="s">
        <v>114</v>
      </c>
      <c r="B298" s="31" t="s">
        <v>412</v>
      </c>
      <c r="C298" s="635">
        <v>220660.34236066975</v>
      </c>
      <c r="D298" s="636" t="s">
        <v>549</v>
      </c>
      <c r="E298" s="635">
        <v>280840.44</v>
      </c>
    </row>
    <row r="299" spans="1:6">
      <c r="A299" s="732" t="s">
        <v>596</v>
      </c>
      <c r="B299" s="31" t="s">
        <v>597</v>
      </c>
      <c r="C299" s="635">
        <v>4800</v>
      </c>
      <c r="D299" s="636" t="s">
        <v>549</v>
      </c>
      <c r="E299" s="635">
        <v>5200</v>
      </c>
    </row>
    <row r="300" spans="1:6">
      <c r="A300" s="732" t="s">
        <v>594</v>
      </c>
      <c r="B300" s="31" t="s">
        <v>298</v>
      </c>
      <c r="C300" s="635">
        <v>0</v>
      </c>
      <c r="D300" s="636" t="s">
        <v>549</v>
      </c>
      <c r="E300" s="635">
        <v>0</v>
      </c>
    </row>
    <row r="301" spans="1:6">
      <c r="A301" s="732" t="s">
        <v>1139</v>
      </c>
      <c r="B301" s="31" t="s">
        <v>1140</v>
      </c>
      <c r="C301" s="635">
        <v>0</v>
      </c>
      <c r="D301" s="636" t="s">
        <v>549</v>
      </c>
      <c r="E301" s="635">
        <v>0</v>
      </c>
    </row>
    <row r="302" spans="1:6">
      <c r="A302" s="732"/>
      <c r="D302" s="636"/>
    </row>
    <row r="303" spans="1:6">
      <c r="A303" s="732" t="s">
        <v>365</v>
      </c>
      <c r="B303" s="31" t="s">
        <v>1025</v>
      </c>
      <c r="C303" s="635">
        <v>527646.97410952079</v>
      </c>
      <c r="D303" s="636" t="s">
        <v>549</v>
      </c>
      <c r="E303" s="635">
        <v>671550.69432120852</v>
      </c>
    </row>
    <row r="304" spans="1:6">
      <c r="A304" s="732" t="s">
        <v>1047</v>
      </c>
      <c r="B304" s="31" t="s">
        <v>1048</v>
      </c>
      <c r="C304" s="635">
        <v>323783.37047629687</v>
      </c>
      <c r="D304" s="636" t="s">
        <v>549</v>
      </c>
      <c r="E304" s="636">
        <v>350765.31801598833</v>
      </c>
    </row>
    <row r="305" spans="1:5" customFormat="1">
      <c r="A305" s="732" t="s">
        <v>435</v>
      </c>
      <c r="B305" s="663" t="s">
        <v>436</v>
      </c>
      <c r="C305" s="635">
        <v>195456.73064444444</v>
      </c>
      <c r="D305" s="636" t="s">
        <v>549</v>
      </c>
      <c r="E305" s="636" t="s">
        <v>549</v>
      </c>
    </row>
    <row r="306" spans="1:5" customFormat="1">
      <c r="A306" s="732" t="s">
        <v>437</v>
      </c>
      <c r="B306" s="663" t="s">
        <v>438</v>
      </c>
      <c r="C306" s="635">
        <v>740745.95322610065</v>
      </c>
      <c r="D306" s="636" t="s">
        <v>549</v>
      </c>
      <c r="E306" s="635">
        <v>1191530.68</v>
      </c>
    </row>
    <row r="307" spans="1:5">
      <c r="A307" s="732" t="s">
        <v>887</v>
      </c>
      <c r="B307" s="31" t="s">
        <v>1021</v>
      </c>
      <c r="C307" s="635">
        <v>77000</v>
      </c>
      <c r="D307" s="636">
        <v>0</v>
      </c>
      <c r="E307" s="635">
        <v>98000</v>
      </c>
    </row>
    <row r="308" spans="1:5">
      <c r="A308" s="732" t="s">
        <v>126</v>
      </c>
      <c r="B308" s="31" t="s">
        <v>1022</v>
      </c>
      <c r="C308" s="635">
        <v>0</v>
      </c>
      <c r="D308" s="636" t="s">
        <v>549</v>
      </c>
      <c r="E308" s="635">
        <v>0</v>
      </c>
    </row>
    <row r="309" spans="1:5">
      <c r="A309" s="732" t="s">
        <v>1040</v>
      </c>
      <c r="B309" s="31" t="s">
        <v>1041</v>
      </c>
      <c r="C309" s="635">
        <v>0</v>
      </c>
      <c r="D309" s="636" t="s">
        <v>549</v>
      </c>
      <c r="E309" s="635">
        <v>0</v>
      </c>
    </row>
    <row r="310" spans="1:5" customFormat="1">
      <c r="A310" s="732"/>
      <c r="C310" s="635"/>
      <c r="D310" s="636"/>
      <c r="E310" s="635"/>
    </row>
    <row r="311" spans="1:5">
      <c r="A311" s="732" t="s">
        <v>458</v>
      </c>
      <c r="B311" s="663" t="s">
        <v>598</v>
      </c>
      <c r="C311" s="635">
        <v>36000</v>
      </c>
      <c r="D311" s="636" t="s">
        <v>549</v>
      </c>
      <c r="E311" s="635">
        <v>39000</v>
      </c>
    </row>
    <row r="312" spans="1:5">
      <c r="A312" s="732"/>
      <c r="B312" s="31"/>
      <c r="D312" s="636"/>
    </row>
    <row r="313" spans="1:5">
      <c r="A313" s="732"/>
      <c r="B313" s="681"/>
      <c r="C313" s="641">
        <f>SUM(C233:C312)</f>
        <v>3943523.6443638434</v>
      </c>
      <c r="D313" s="641">
        <f>SUM(D233:D312)</f>
        <v>0</v>
      </c>
      <c r="E313" s="641">
        <f>SUM(E233:E312)</f>
        <v>4605769.9423371973</v>
      </c>
    </row>
    <row r="314" spans="1:5">
      <c r="A314" s="732"/>
      <c r="B314" s="31"/>
      <c r="D314" s="636"/>
    </row>
    <row r="315" spans="1:5">
      <c r="A315" s="732" t="s">
        <v>336</v>
      </c>
      <c r="B315" s="31" t="s">
        <v>337</v>
      </c>
      <c r="C315" s="635">
        <v>-3667368.02221333</v>
      </c>
      <c r="D315" s="636" t="s">
        <v>549</v>
      </c>
      <c r="E315" s="635">
        <v>0</v>
      </c>
    </row>
    <row r="316" spans="1:5">
      <c r="A316" s="732" t="s">
        <v>1153</v>
      </c>
      <c r="B316" s="31" t="s">
        <v>1154</v>
      </c>
      <c r="C316" s="635">
        <v>0</v>
      </c>
      <c r="D316" s="636" t="s">
        <v>549</v>
      </c>
      <c r="E316" s="635">
        <v>0</v>
      </c>
    </row>
    <row r="317" spans="1:5">
      <c r="A317" s="732" t="s">
        <v>1141</v>
      </c>
      <c r="B317" s="31" t="s">
        <v>1104</v>
      </c>
      <c r="C317" s="635">
        <v>0</v>
      </c>
      <c r="D317" s="636" t="s">
        <v>549</v>
      </c>
      <c r="E317" s="635">
        <v>0</v>
      </c>
    </row>
    <row r="318" spans="1:5">
      <c r="A318" s="732" t="s">
        <v>1127</v>
      </c>
      <c r="B318" s="31" t="s">
        <v>1170</v>
      </c>
      <c r="C318" s="635">
        <v>240000</v>
      </c>
      <c r="D318" s="636" t="s">
        <v>549</v>
      </c>
      <c r="E318" s="635">
        <v>260000</v>
      </c>
    </row>
    <row r="319" spans="1:5" customFormat="1">
      <c r="A319" s="732" t="s">
        <v>408</v>
      </c>
      <c r="B319" s="31" t="s">
        <v>297</v>
      </c>
      <c r="C319" s="635">
        <v>744713.69715200004</v>
      </c>
      <c r="D319" s="636" t="s">
        <v>549</v>
      </c>
      <c r="E319" s="635">
        <v>806773.17191466677</v>
      </c>
    </row>
    <row r="320" spans="1:5">
      <c r="A320" s="732" t="s">
        <v>431</v>
      </c>
      <c r="B320" s="663" t="s">
        <v>299</v>
      </c>
      <c r="C320" s="635">
        <v>682654.2223893333</v>
      </c>
      <c r="D320" s="636" t="s">
        <v>549</v>
      </c>
      <c r="E320" s="635">
        <v>868832.64667733351</v>
      </c>
    </row>
    <row r="321" spans="1:6">
      <c r="D321" s="636"/>
    </row>
    <row r="322" spans="1:6">
      <c r="A322" s="732"/>
      <c r="B322" s="681"/>
      <c r="C322" s="641">
        <f>SUM(C315:C321)</f>
        <v>-2000000.1026719967</v>
      </c>
      <c r="D322" s="641">
        <f>SUM(D315:D321)</f>
        <v>0</v>
      </c>
      <c r="E322" s="641">
        <f>SUM(E315:E321)</f>
        <v>1935605.8185920003</v>
      </c>
    </row>
    <row r="323" spans="1:6">
      <c r="A323" s="732"/>
      <c r="B323" s="31"/>
      <c r="D323" s="636"/>
    </row>
    <row r="324" spans="1:6">
      <c r="A324" s="732" t="s">
        <v>888</v>
      </c>
      <c r="B324" s="31" t="s">
        <v>889</v>
      </c>
      <c r="C324" s="635">
        <v>2000</v>
      </c>
      <c r="D324" s="636">
        <v>0</v>
      </c>
      <c r="E324" s="636">
        <v>3000</v>
      </c>
      <c r="F324" s="733"/>
    </row>
    <row r="325" spans="1:6">
      <c r="A325" s="732" t="s">
        <v>890</v>
      </c>
      <c r="B325" s="31" t="s">
        <v>891</v>
      </c>
      <c r="C325" s="635">
        <v>59793.823699238594</v>
      </c>
      <c r="D325" s="636">
        <v>0</v>
      </c>
      <c r="E325" s="636">
        <v>89690.73</v>
      </c>
    </row>
    <row r="326" spans="1:6">
      <c r="A326" s="732" t="s">
        <v>19</v>
      </c>
      <c r="B326" s="31" t="s">
        <v>1023</v>
      </c>
      <c r="C326" s="635">
        <v>814618.17359999986</v>
      </c>
      <c r="D326" s="636">
        <v>2036545.4339999997</v>
      </c>
      <c r="E326" s="636">
        <v>1221927.2603999998</v>
      </c>
    </row>
    <row r="327" spans="1:6">
      <c r="A327" s="732" t="s">
        <v>20</v>
      </c>
      <c r="B327" s="31" t="s">
        <v>1024</v>
      </c>
      <c r="C327" s="635">
        <v>2000</v>
      </c>
      <c r="D327" s="636">
        <v>10000</v>
      </c>
      <c r="E327" s="636">
        <v>3000</v>
      </c>
    </row>
    <row r="328" spans="1:6">
      <c r="A328" s="732" t="s">
        <v>892</v>
      </c>
      <c r="B328" s="31" t="s">
        <v>893</v>
      </c>
      <c r="C328" s="635">
        <v>0</v>
      </c>
      <c r="D328" s="636">
        <v>268335</v>
      </c>
      <c r="E328" s="636">
        <v>268335</v>
      </c>
    </row>
    <row r="329" spans="1:6">
      <c r="A329" s="732" t="s">
        <v>571</v>
      </c>
      <c r="B329" s="31" t="s">
        <v>572</v>
      </c>
      <c r="C329" s="635">
        <v>4800</v>
      </c>
      <c r="D329" s="636">
        <v>12000</v>
      </c>
      <c r="E329" s="635">
        <v>7200</v>
      </c>
    </row>
    <row r="330" spans="1:6">
      <c r="A330" s="732" t="s">
        <v>21</v>
      </c>
      <c r="B330" s="31" t="s">
        <v>687</v>
      </c>
      <c r="C330" s="635">
        <v>2000</v>
      </c>
      <c r="D330" s="635">
        <v>0</v>
      </c>
      <c r="E330" s="635">
        <v>3000</v>
      </c>
    </row>
    <row r="331" spans="1:6">
      <c r="A331" s="732" t="s">
        <v>1187</v>
      </c>
      <c r="B331" s="31" t="s">
        <v>1188</v>
      </c>
      <c r="C331" s="635">
        <v>8000</v>
      </c>
      <c r="D331" s="636" t="s">
        <v>549</v>
      </c>
      <c r="E331" s="635">
        <v>12000</v>
      </c>
    </row>
    <row r="332" spans="1:6">
      <c r="A332" s="732" t="s">
        <v>22</v>
      </c>
      <c r="B332" s="31" t="s">
        <v>688</v>
      </c>
      <c r="C332" s="635">
        <v>28800</v>
      </c>
      <c r="D332" s="635">
        <v>72000</v>
      </c>
      <c r="E332" s="635">
        <v>43200</v>
      </c>
    </row>
    <row r="333" spans="1:6">
      <c r="A333" s="732" t="s">
        <v>573</v>
      </c>
      <c r="B333" s="31" t="s">
        <v>586</v>
      </c>
      <c r="C333" s="635">
        <v>67880.639999999999</v>
      </c>
      <c r="D333" s="636" t="s">
        <v>549</v>
      </c>
      <c r="E333" s="635">
        <v>73537.36</v>
      </c>
    </row>
    <row r="334" spans="1:6">
      <c r="A334" s="732" t="s">
        <v>574</v>
      </c>
      <c r="B334" s="31" t="s">
        <v>575</v>
      </c>
      <c r="C334" s="635">
        <v>20000</v>
      </c>
      <c r="D334" s="636" t="s">
        <v>549</v>
      </c>
      <c r="E334" s="635">
        <v>30000</v>
      </c>
    </row>
    <row r="335" spans="1:6">
      <c r="A335" s="732"/>
      <c r="B335" s="31"/>
      <c r="D335" s="636"/>
    </row>
    <row r="336" spans="1:6">
      <c r="A336" s="732" t="s">
        <v>1201</v>
      </c>
      <c r="B336" s="31" t="s">
        <v>1202</v>
      </c>
      <c r="C336" s="635">
        <v>13449.318786272494</v>
      </c>
      <c r="D336" s="635">
        <v>0</v>
      </c>
      <c r="E336" s="635">
        <v>0</v>
      </c>
      <c r="F336" s="733"/>
    </row>
    <row r="337" spans="1:5">
      <c r="A337" s="732"/>
      <c r="B337" s="681"/>
      <c r="C337" s="641">
        <f>SUM(C324:C336)</f>
        <v>1023341.956085511</v>
      </c>
      <c r="D337" s="641">
        <f t="shared" ref="D337:E337" si="2">SUM(D324:D336)</f>
        <v>2398880.4339999994</v>
      </c>
      <c r="E337" s="641">
        <f t="shared" si="2"/>
        <v>1754890.3503999999</v>
      </c>
    </row>
    <row r="338" spans="1:5" ht="13.5" thickBot="1">
      <c r="C338" s="642">
        <f>C322+C313+C231+C337+C183++C180+C195+C149</f>
        <v>54951132.340043515</v>
      </c>
      <c r="D338" s="642">
        <f>D322+D313+D231+D337+D183++D180+D195+D149</f>
        <v>72160836.727277249</v>
      </c>
      <c r="E338" s="642">
        <f>E322+E313+E231+E337+E183++E180+E195+E149</f>
        <v>75019988.845994607</v>
      </c>
    </row>
    <row r="339" spans="1:5">
      <c r="D339" s="636"/>
      <c r="E339" s="636"/>
    </row>
    <row r="340" spans="1:5" outlineLevel="1">
      <c r="A340" s="682" t="s">
        <v>56</v>
      </c>
      <c r="B340" s="682" t="s">
        <v>1026</v>
      </c>
      <c r="C340" s="643">
        <v>880681.79952604498</v>
      </c>
      <c r="D340" s="643">
        <v>0</v>
      </c>
      <c r="E340" s="643">
        <v>995863.69000000006</v>
      </c>
    </row>
    <row r="341" spans="1:5" outlineLevel="1">
      <c r="A341" s="682" t="s">
        <v>615</v>
      </c>
      <c r="B341" s="682" t="s">
        <v>51</v>
      </c>
      <c r="C341" s="643">
        <v>28791914.13969684</v>
      </c>
      <c r="D341" s="643">
        <v>23705151.867916726</v>
      </c>
      <c r="E341" s="643">
        <v>35635622.162492462</v>
      </c>
    </row>
    <row r="342" spans="1:5" outlineLevel="1">
      <c r="A342" s="682" t="s">
        <v>52</v>
      </c>
      <c r="B342" s="682" t="s">
        <v>53</v>
      </c>
      <c r="C342" s="643">
        <v>21936024.076247495</v>
      </c>
      <c r="D342" s="643">
        <v>46056804.425360523</v>
      </c>
      <c r="E342" s="643">
        <v>30615775.833102141</v>
      </c>
    </row>
    <row r="343" spans="1:5" outlineLevel="1">
      <c r="A343" s="682" t="s">
        <v>54</v>
      </c>
      <c r="B343" s="682" t="s">
        <v>55</v>
      </c>
      <c r="C343" s="643">
        <v>2319170.3684876268</v>
      </c>
      <c r="D343" s="643">
        <v>0</v>
      </c>
      <c r="E343" s="643">
        <v>6017836.8099999996</v>
      </c>
    </row>
    <row r="344" spans="1:5" outlineLevel="1">
      <c r="A344" s="682" t="s">
        <v>71</v>
      </c>
      <c r="B344" s="682" t="s">
        <v>72</v>
      </c>
      <c r="C344" s="643">
        <v>1023341.956085511</v>
      </c>
      <c r="D344" s="643">
        <v>2398880.4339999994</v>
      </c>
      <c r="E344" s="643">
        <v>1754890.3503999999</v>
      </c>
    </row>
    <row r="345" spans="1:5" ht="13.5" outlineLevel="1" thickBot="1">
      <c r="A345" s="682" t="s">
        <v>293</v>
      </c>
      <c r="B345" s="682" t="s">
        <v>294</v>
      </c>
      <c r="C345" s="644">
        <v>54951132.340043515</v>
      </c>
      <c r="D345" s="644">
        <f>SUM(D340:D344)</f>
        <v>72160836.727277249</v>
      </c>
      <c r="E345" s="644">
        <f>SUM(E340:E344)</f>
        <v>75019988.845994607</v>
      </c>
    </row>
    <row r="346" spans="1:5">
      <c r="A346" s="279"/>
      <c r="B346" s="279"/>
      <c r="D346" s="636"/>
      <c r="E346" s="636"/>
    </row>
    <row r="347" spans="1:5">
      <c r="C347" s="645">
        <f>C345-C338</f>
        <v>0</v>
      </c>
    </row>
  </sheetData>
  <phoneticPr fontId="4" type="noConversion"/>
  <conditionalFormatting sqref="A323:A337 A4:A320">
    <cfRule type="containsText" dxfId="16" priority="8" operator="containsText" text="Unit">
      <formula>NOT(ISERROR(SEARCH("Unit",A4)))</formula>
    </cfRule>
  </conditionalFormatting>
  <conditionalFormatting sqref="A182">
    <cfRule type="containsText" dxfId="15" priority="6" operator="containsText" text="Unit">
      <formula>NOT(ISERROR(SEARCH("Unit",A182)))</formula>
    </cfRule>
  </conditionalFormatting>
  <conditionalFormatting sqref="A231:A320 A323 A87:A181 A183:A196 A337 A4:A85">
    <cfRule type="duplicateValues" dxfId="14" priority="34"/>
  </conditionalFormatting>
  <conditionalFormatting sqref="A231:A321 A183:A196 A337 A323 A4:A181">
    <cfRule type="duplicateValues" dxfId="13" priority="40"/>
  </conditionalFormatting>
  <conditionalFormatting sqref="A322">
    <cfRule type="containsText" dxfId="12" priority="1" operator="containsText" text="Unit">
      <formula>NOT(ISERROR(SEARCH("Unit",A322)))</formula>
    </cfRule>
  </conditionalFormatting>
  <conditionalFormatting sqref="A322">
    <cfRule type="duplicateValues" dxfId="11" priority="2"/>
  </conditionalFormatting>
  <conditionalFormatting sqref="A322">
    <cfRule type="duplicateValues" dxfId="10" priority="3"/>
  </conditionalFormatting>
  <conditionalFormatting sqref="A324:A335">
    <cfRule type="containsText" dxfId="9" priority="5" operator="containsText" text="Unit">
      <formula>NOT(ISERROR(SEARCH("Unit",#REF!)))</formula>
    </cfRule>
  </conditionalFormatting>
  <pageMargins left="0.26" right="0.18" top="0.21" bottom="0.34" header="0.15748031496062992" footer="0.16"/>
  <pageSetup paperSize="9" fitToHeight="0" orientation="landscape" r:id="rId1"/>
  <headerFooter alignWithMargins="0">
    <oddFooter>&amp;L&amp;D &amp;T&amp;R&amp;F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6" tint="0.59999389629810485"/>
    <pageSetUpPr fitToPage="1"/>
  </sheetPr>
  <dimension ref="A1:D10"/>
  <sheetViews>
    <sheetView workbookViewId="0">
      <selection activeCell="D24" sqref="D24"/>
    </sheetView>
  </sheetViews>
  <sheetFormatPr defaultColWidth="9.140625" defaultRowHeight="12.75"/>
  <cols>
    <col min="1" max="1" width="29.28515625" style="3" customWidth="1"/>
    <col min="2" max="2" width="13.140625" style="3" bestFit="1" customWidth="1"/>
    <col min="3" max="3" width="11" style="3" customWidth="1"/>
    <col min="4" max="4" width="13.140625" style="3" bestFit="1" customWidth="1"/>
    <col min="5" max="16384" width="9.140625" style="3"/>
  </cols>
  <sheetData>
    <row r="1" spans="1:4" ht="15.75">
      <c r="A1" s="9" t="str">
        <f>'Rate Summary'!A1</f>
        <v>Greater Wellington Regional Council</v>
      </c>
    </row>
    <row r="2" spans="1:4" ht="15.75">
      <c r="A2" s="9" t="str">
        <f>'Rate Summary'!A2</f>
        <v>Final Public Transport Rate 2015/16</v>
      </c>
    </row>
    <row r="3" spans="1:4" ht="15.75">
      <c r="A3" s="9" t="s">
        <v>74</v>
      </c>
      <c r="B3" s="5"/>
    </row>
    <row r="4" spans="1:4" ht="13.5" thickBot="1">
      <c r="A4" s="15"/>
      <c r="B4" s="5"/>
    </row>
    <row r="5" spans="1:4" ht="13.5" thickBot="1">
      <c r="A5" s="14" t="s">
        <v>784</v>
      </c>
      <c r="B5" s="5"/>
      <c r="C5" s="487">
        <f>'Policy Allocations'!H24</f>
        <v>0.05</v>
      </c>
    </row>
    <row r="6" spans="1:4">
      <c r="A6" s="485"/>
      <c r="B6" s="5"/>
    </row>
    <row r="7" spans="1:4" s="2" customFormat="1" ht="25.5">
      <c r="A7" s="291"/>
      <c r="B7" s="486" t="s">
        <v>382</v>
      </c>
      <c r="C7" s="269" t="s">
        <v>818</v>
      </c>
      <c r="D7" s="288" t="s">
        <v>785</v>
      </c>
    </row>
    <row r="8" spans="1:4">
      <c r="A8" s="287" t="s">
        <v>691</v>
      </c>
      <c r="B8" s="289">
        <f>'Essbase Download'!C180</f>
        <v>16615816.034016691</v>
      </c>
      <c r="C8" s="289">
        <f>B8*$C$5</f>
        <v>830790.80170083465</v>
      </c>
      <c r="D8" s="286">
        <f>B8-C8</f>
        <v>15785025.232315857</v>
      </c>
    </row>
    <row r="9" spans="1:4">
      <c r="A9" s="287" t="s">
        <v>692</v>
      </c>
      <c r="B9" s="289">
        <f>'Essbase Download'!C183</f>
        <v>9766090.8548344504</v>
      </c>
      <c r="C9" s="289">
        <f>B9*$C$5</f>
        <v>488304.54274172254</v>
      </c>
      <c r="D9" s="286">
        <f>B9-C9</f>
        <v>9277786.3120927271</v>
      </c>
    </row>
    <row r="10" spans="1:4">
      <c r="A10" s="292" t="s">
        <v>75</v>
      </c>
      <c r="B10" s="271">
        <f>SUM(B8:B9)</f>
        <v>26381906.888851143</v>
      </c>
      <c r="C10" s="271">
        <f>B10*0.05</f>
        <v>1319095.3444425573</v>
      </c>
      <c r="D10" s="290">
        <f>B10-C10</f>
        <v>25062811.544408586</v>
      </c>
    </row>
  </sheetData>
  <phoneticPr fontId="4" type="noConversion"/>
  <pageMargins left="0.39" right="0.33" top="0.38" bottom="0.54" header="0.27" footer="0.22"/>
  <pageSetup paperSize="9" orientation="landscape" r:id="rId1"/>
  <headerFooter alignWithMargins="0">
    <oddFooter>&amp;L&amp;D &amp;T&amp;R&amp;F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6" tint="0.59999389629810485"/>
    <pageSetUpPr fitToPage="1"/>
  </sheetPr>
  <dimension ref="A1:E18"/>
  <sheetViews>
    <sheetView zoomScaleNormal="100" workbookViewId="0">
      <selection activeCell="C8" sqref="C8"/>
    </sheetView>
  </sheetViews>
  <sheetFormatPr defaultColWidth="8.85546875" defaultRowHeight="12.75"/>
  <cols>
    <col min="1" max="1" width="16.5703125" style="14" customWidth="1"/>
    <col min="2" max="2" width="11.42578125" style="14" customWidth="1"/>
    <col min="3" max="5" width="11.140625" style="14" customWidth="1"/>
    <col min="6" max="16384" width="8.85546875" style="12"/>
  </cols>
  <sheetData>
    <row r="1" spans="1:5" ht="15.75">
      <c r="A1" s="9" t="str">
        <f>'Rate Summary'!A1</f>
        <v>Greater Wellington Regional Council</v>
      </c>
    </row>
    <row r="2" spans="1:5" ht="15.75">
      <c r="A2" s="9" t="str">
        <f>'Rate Summary'!A2</f>
        <v>Final Public Transport Rate 2015/16</v>
      </c>
    </row>
    <row r="3" spans="1:5" ht="15.75">
      <c r="A3" s="9" t="s">
        <v>230</v>
      </c>
    </row>
    <row r="4" spans="1:5" ht="13.5" thickBot="1">
      <c r="A4" s="15"/>
    </row>
    <row r="5" spans="1:5" s="3" customFormat="1" ht="13.5" thickBot="1">
      <c r="A5" s="14" t="s">
        <v>784</v>
      </c>
      <c r="B5" s="5"/>
      <c r="D5" s="487">
        <f>'Policy Allocations'!H24</f>
        <v>0.05</v>
      </c>
    </row>
    <row r="6" spans="1:5">
      <c r="A6" s="15"/>
    </row>
    <row r="7" spans="1:5" ht="25.5">
      <c r="A7" s="260"/>
      <c r="B7" s="261"/>
      <c r="C7" s="265" t="s">
        <v>382</v>
      </c>
      <c r="D7" s="308" t="s">
        <v>818</v>
      </c>
      <c r="E7" s="309" t="s">
        <v>785</v>
      </c>
    </row>
    <row r="8" spans="1:5">
      <c r="A8" s="254" t="s">
        <v>788</v>
      </c>
      <c r="B8" s="255" t="s">
        <v>270</v>
      </c>
      <c r="C8" s="263">
        <f>'Bus-Base Data'!X107</f>
        <v>147291.22888947406</v>
      </c>
      <c r="D8" s="264">
        <f>C8*$D$5</f>
        <v>7364.5614444737039</v>
      </c>
      <c r="E8" s="272">
        <f>C8-D8</f>
        <v>139926.66744500035</v>
      </c>
    </row>
    <row r="9" spans="1:5">
      <c r="A9" s="256" t="s">
        <v>380</v>
      </c>
      <c r="B9" s="257" t="s">
        <v>269</v>
      </c>
      <c r="C9" s="234">
        <f>'Bus-Base Data'!Y107</f>
        <v>306524.98985106766</v>
      </c>
      <c r="D9" s="232">
        <f t="shared" ref="D9:D17" si="0">C9*$D$5</f>
        <v>15326.249492553383</v>
      </c>
      <c r="E9" s="273">
        <f t="shared" ref="E9:E17" si="1">C9-D9</f>
        <v>291198.74035851425</v>
      </c>
    </row>
    <row r="10" spans="1:5">
      <c r="A10" s="256" t="s">
        <v>805</v>
      </c>
      <c r="B10" s="257" t="s">
        <v>268</v>
      </c>
      <c r="C10" s="234">
        <f>'Bus-Base Data'!Z107</f>
        <v>404055.66844004369</v>
      </c>
      <c r="D10" s="232">
        <f t="shared" si="0"/>
        <v>20202.783422002187</v>
      </c>
      <c r="E10" s="273">
        <f t="shared" si="1"/>
        <v>383852.88501804153</v>
      </c>
    </row>
    <row r="11" spans="1:5">
      <c r="A11" s="256" t="s">
        <v>737</v>
      </c>
      <c r="B11" s="257" t="s">
        <v>271</v>
      </c>
      <c r="C11" s="234">
        <f>'Bus-Base Data'!AA107</f>
        <v>161224.1829736135</v>
      </c>
      <c r="D11" s="232">
        <f t="shared" si="0"/>
        <v>8061.2091486806748</v>
      </c>
      <c r="E11" s="273">
        <f t="shared" si="1"/>
        <v>153162.97382493282</v>
      </c>
    </row>
    <row r="12" spans="1:5">
      <c r="A12" s="256" t="s">
        <v>822</v>
      </c>
      <c r="B12" s="257" t="s">
        <v>272</v>
      </c>
      <c r="C12" s="234">
        <f>'Bus-Base Data'!AB107</f>
        <v>41798.862252418316</v>
      </c>
      <c r="D12" s="232">
        <f t="shared" si="0"/>
        <v>2089.9431126209161</v>
      </c>
      <c r="E12" s="273">
        <f t="shared" si="1"/>
        <v>39708.919139797399</v>
      </c>
    </row>
    <row r="13" spans="1:5">
      <c r="A13" s="256" t="s">
        <v>704</v>
      </c>
      <c r="B13" s="257" t="s">
        <v>273</v>
      </c>
      <c r="C13" s="234">
        <f>'Bus-Base Data'!AC107</f>
        <v>0</v>
      </c>
      <c r="D13" s="232">
        <f t="shared" si="0"/>
        <v>0</v>
      </c>
      <c r="E13" s="273">
        <f t="shared" si="1"/>
        <v>0</v>
      </c>
    </row>
    <row r="14" spans="1:5">
      <c r="A14" s="256" t="s">
        <v>703</v>
      </c>
      <c r="B14" s="257" t="s">
        <v>377</v>
      </c>
      <c r="C14" s="234">
        <f>'Bus-Base Data'!AD107</f>
        <v>0</v>
      </c>
      <c r="D14" s="232">
        <f t="shared" si="0"/>
        <v>0</v>
      </c>
      <c r="E14" s="273">
        <f t="shared" si="1"/>
        <v>0</v>
      </c>
    </row>
    <row r="15" spans="1:5">
      <c r="A15" s="256" t="s">
        <v>786</v>
      </c>
      <c r="B15" s="257" t="s">
        <v>274</v>
      </c>
      <c r="C15" s="234">
        <f>'Bus-Base Data'!AE107</f>
        <v>0</v>
      </c>
      <c r="D15" s="232">
        <f t="shared" si="0"/>
        <v>0</v>
      </c>
      <c r="E15" s="273">
        <f t="shared" si="1"/>
        <v>0</v>
      </c>
    </row>
    <row r="16" spans="1:5">
      <c r="A16" s="254" t="s">
        <v>167</v>
      </c>
      <c r="B16" s="255"/>
      <c r="C16" s="277">
        <f>SUM(C8:C15)</f>
        <v>1060894.9324066173</v>
      </c>
      <c r="D16" s="484">
        <f>SUM(D8:D15)</f>
        <v>53044.746620330865</v>
      </c>
      <c r="E16" s="272">
        <f>SUM(E8:E15)</f>
        <v>1007850.1857862864</v>
      </c>
    </row>
    <row r="17" spans="1:5">
      <c r="A17" s="258" t="s">
        <v>381</v>
      </c>
      <c r="B17" s="259" t="s">
        <v>378</v>
      </c>
      <c r="C17" s="253">
        <f>'Bus-Base Data'!AF107</f>
        <v>0</v>
      </c>
      <c r="D17" s="232">
        <f t="shared" si="0"/>
        <v>0</v>
      </c>
      <c r="E17" s="273">
        <f t="shared" si="1"/>
        <v>0</v>
      </c>
    </row>
    <row r="18" spans="1:5">
      <c r="A18" s="260" t="s">
        <v>837</v>
      </c>
      <c r="B18" s="261"/>
      <c r="C18" s="262">
        <f>SUM(C16:C17)</f>
        <v>1060894.9324066173</v>
      </c>
      <c r="D18" s="270">
        <f>SUM(D16:D17)</f>
        <v>53044.746620330865</v>
      </c>
      <c r="E18" s="271">
        <f>SUM(E16:E17)</f>
        <v>1007850.1857862864</v>
      </c>
    </row>
  </sheetData>
  <phoneticPr fontId="0" type="noConversion"/>
  <pageMargins left="0.41" right="0.19685039370078741" top="0.33" bottom="0.15748031496062992" header="0.15748031496062992" footer="0.15748031496062992"/>
  <pageSetup paperSize="9" orientation="landscape" r:id="rId1"/>
  <headerFooter alignWithMargins="0">
    <oddFooter>&amp;L&amp;D &amp;T&amp;R&amp;F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Instructions</vt:lpstr>
      <vt:lpstr>Rate Summary</vt:lpstr>
      <vt:lpstr>Summary Costs</vt:lpstr>
      <vt:lpstr>Compare</vt:lpstr>
      <vt:lpstr>Rates Allocation</vt:lpstr>
      <vt:lpstr>RCV and ECV</vt:lpstr>
      <vt:lpstr>Essbase Download</vt:lpstr>
      <vt:lpstr>Rail-Sum</vt:lpstr>
      <vt:lpstr>Bus-Sum</vt:lpstr>
      <vt:lpstr>Bus-Base Data</vt:lpstr>
      <vt:lpstr>Contracts </vt:lpstr>
      <vt:lpstr>Contracts inf</vt:lpstr>
      <vt:lpstr>Policy Allocations</vt:lpstr>
      <vt:lpstr>Total Trips Model</vt:lpstr>
      <vt:lpstr>Cbd</vt:lpstr>
      <vt:lpstr>paratransit</vt:lpstr>
      <vt:lpstr>Compare!Print_Area</vt:lpstr>
      <vt:lpstr>'Essbase Download'!Print_Area</vt:lpstr>
      <vt:lpstr>'Rate Summary'!Print_Area</vt:lpstr>
      <vt:lpstr>'Rates Allocation'!Print_Area</vt:lpstr>
      <vt:lpstr>'RCV and ECV'!Print_Area</vt:lpstr>
      <vt:lpstr>'Summary Costs'!Print_Area</vt:lpstr>
      <vt:lpstr>'Bus-Base Data'!Print_Titles</vt:lpstr>
      <vt:lpstr>Compare!Print_Titles</vt:lpstr>
      <vt:lpstr>'Contracts '!Print_Titles</vt:lpstr>
      <vt:lpstr>'Contracts inf'!Print_Titles</vt:lpstr>
      <vt:lpstr>'Essbase Download'!Print_Titles</vt:lpstr>
      <vt:lpstr>'RCV and ECV'!Print_Titles</vt:lpstr>
      <vt:lpstr>social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Mazey</dc:creator>
  <cp:lastModifiedBy>Margaret Meek</cp:lastModifiedBy>
  <cp:lastPrinted>2015-01-29T20:44:20Z</cp:lastPrinted>
  <dcterms:created xsi:type="dcterms:W3CDTF">2004-10-14T09:39:46Z</dcterms:created>
  <dcterms:modified xsi:type="dcterms:W3CDTF">2015-04-20T01:47:31Z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-1208792980</vt:i4>
  </property>
  <property fmtid="{D5CDD505-2E9C-101B-9397-08002B2CF9AE}" pid="3" name="_ReviewCycleID">
    <vt:i4>-1208792980</vt:i4>
  </property>
  <property fmtid="{D5CDD505-2E9C-101B-9397-08002B2CF9AE}" pid="4" name="_NewReviewCycle">
    <vt:lpwstr/>
  </property>
  <property fmtid="{D5CDD505-2E9C-101B-9397-08002B2CF9AE}" pid="5" name="_EmailEntryID">
    <vt:lpwstr>000000004CA508108710D011A05308002BB39C1E07003D1B11654B0FD011A05308002BB39C1E00000001090A000052CFCDB904B450489FB2CE10E10501EA0005992BC1530000</vt:lpwstr>
  </property>
  <property fmtid="{D5CDD505-2E9C-101B-9397-08002B2CF9AE}" pid="6" name="DM_Links_Updated">
    <vt:bool>true</vt:bool>
  </property>
  <property fmtid="{D5CDD505-2E9C-101B-9397-08002B2CF9AE}" pid="7" name="_ReviewingToolsShownOnce">
    <vt:lpwstr/>
  </property>
</Properties>
</file>